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uulxc2\OneDrive - Belk Administration Company\Desktop\MBA\MTG\"/>
    </mc:Choice>
  </mc:AlternateContent>
  <xr:revisionPtr revIDLastSave="0" documentId="13_ncr:1_{8E45A539-66E2-49F0-9931-46FE60A58AF9}" xr6:coauthVersionLast="36" xr6:coauthVersionMax="36" xr10:uidLastSave="{00000000-0000-0000-0000-000000000000}"/>
  <bookViews>
    <workbookView xWindow="0" yWindow="0" windowWidth="23040" windowHeight="9375" activeTab="1" xr2:uid="{00000000-000D-0000-FFFF-FFFF00000000}"/>
  </bookViews>
  <sheets>
    <sheet name="Key" sheetId="2" r:id="rId1"/>
    <sheet name="Data" sheetId="1" r:id="rId2"/>
  </sheets>
  <definedNames>
    <definedName name="_xlnm._FilterDatabase" localSheetId="1" hidden="1">Data!$A$8:$Y$41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4" i="1" l="1"/>
  <c r="O55" i="1" l="1"/>
  <c r="P55" i="1"/>
  <c r="P51" i="1"/>
  <c r="P50" i="1"/>
  <c r="P47" i="1"/>
  <c r="P48" i="1"/>
  <c r="I48" i="1" l="1"/>
  <c r="E65" i="1" l="1"/>
  <c r="G65" i="1"/>
  <c r="F53" i="1"/>
  <c r="F65" i="1" l="1"/>
  <c r="E69" i="1"/>
  <c r="G67" i="1"/>
  <c r="Q22" i="1"/>
  <c r="R22" i="1"/>
  <c r="Q26" i="1"/>
  <c r="R26" i="1"/>
  <c r="Q11" i="1"/>
  <c r="R11" i="1"/>
  <c r="Q29" i="1"/>
  <c r="R29" i="1"/>
  <c r="Q20" i="1"/>
  <c r="R20" i="1"/>
  <c r="Q19" i="1"/>
  <c r="R19" i="1"/>
  <c r="Q18" i="1"/>
  <c r="R18" i="1"/>
  <c r="Q17" i="1"/>
  <c r="R17" i="1"/>
  <c r="H67" i="1" l="1"/>
  <c r="R50" i="1"/>
  <c r="G71" i="1"/>
  <c r="F69" i="1"/>
  <c r="R32" i="1"/>
  <c r="Q32" i="1"/>
  <c r="O32" i="1"/>
  <c r="H71" i="1" l="1"/>
  <c r="R48" i="1" s="1"/>
  <c r="R51" i="1"/>
  <c r="R47" i="1"/>
  <c r="R43" i="1"/>
  <c r="F50" i="1"/>
  <c r="F51" i="1"/>
  <c r="F52" i="1"/>
  <c r="Q33" i="1"/>
  <c r="R33" i="1"/>
  <c r="R28" i="1"/>
  <c r="R30" i="1"/>
  <c r="R31" i="1"/>
  <c r="Q28" i="1"/>
  <c r="Q30" i="1"/>
  <c r="Q31" i="1"/>
  <c r="Q15" i="1"/>
  <c r="R15" i="1"/>
  <c r="R9" i="1" l="1"/>
  <c r="Q9" i="1"/>
  <c r="P43" i="1" l="1"/>
  <c r="P56" i="1" s="1"/>
  <c r="R12" i="1"/>
  <c r="R13" i="1"/>
  <c r="R14" i="1"/>
  <c r="R16" i="1"/>
  <c r="R21" i="1"/>
  <c r="R23" i="1"/>
  <c r="R27" i="1"/>
  <c r="R10" i="1"/>
  <c r="Q27" i="1"/>
  <c r="Q23" i="1"/>
  <c r="Q21" i="1"/>
  <c r="Q16" i="1"/>
  <c r="Q12" i="1"/>
  <c r="Q10" i="1"/>
  <c r="Q13" i="1"/>
  <c r="Q14" i="1"/>
  <c r="J15" i="1" l="1"/>
  <c r="K15" i="1"/>
  <c r="L15" i="1"/>
  <c r="M15" i="1" s="1"/>
  <c r="N15" i="1" l="1"/>
  <c r="J28" i="1"/>
  <c r="K28" i="1"/>
  <c r="L28" i="1"/>
  <c r="M28" i="1" s="1"/>
  <c r="J14" i="1"/>
  <c r="K14" i="1"/>
  <c r="L14" i="1"/>
  <c r="M14" i="1" s="1"/>
  <c r="N28" i="1" l="1"/>
  <c r="N14" i="1"/>
  <c r="O34" i="1"/>
  <c r="L34" i="1"/>
  <c r="M34" i="1" s="1"/>
  <c r="K34" i="1"/>
  <c r="J34" i="1"/>
  <c r="L32" i="1"/>
  <c r="N32" i="1" s="1"/>
  <c r="K32" i="1"/>
  <c r="J32" i="1"/>
  <c r="N34" i="1" l="1"/>
  <c r="M32" i="1"/>
  <c r="K31" i="1"/>
  <c r="L30" i="1"/>
  <c r="N30" i="1" s="1"/>
  <c r="L31" i="1"/>
  <c r="O31" i="1"/>
  <c r="O30" i="1"/>
  <c r="J30" i="1" l="1"/>
  <c r="K30" i="1"/>
  <c r="N31" i="1"/>
  <c r="M31" i="1"/>
  <c r="J31" i="1"/>
  <c r="M30" i="1"/>
  <c r="D6" i="1" l="1"/>
  <c r="J38" i="1" l="1"/>
  <c r="K38" i="1"/>
  <c r="L38" i="1"/>
  <c r="N38" i="1" s="1"/>
  <c r="O38" i="1"/>
  <c r="E43" i="1"/>
  <c r="H25" i="1"/>
  <c r="I24" i="1"/>
  <c r="L24" i="1" s="1"/>
  <c r="H24" i="1"/>
  <c r="L18" i="1"/>
  <c r="L22" i="1"/>
  <c r="I43" i="1"/>
  <c r="K10" i="1"/>
  <c r="K11" i="1"/>
  <c r="K12" i="1"/>
  <c r="K33" i="1"/>
  <c r="K13" i="1"/>
  <c r="K16" i="1"/>
  <c r="K36" i="1"/>
  <c r="K37" i="1"/>
  <c r="K35" i="1"/>
  <c r="K39" i="1"/>
  <c r="K40" i="1"/>
  <c r="K17" i="1"/>
  <c r="K18" i="1"/>
  <c r="K19" i="1"/>
  <c r="K20" i="1"/>
  <c r="K21" i="1"/>
  <c r="K22" i="1"/>
  <c r="K23" i="1"/>
  <c r="K41" i="1"/>
  <c r="K26" i="1"/>
  <c r="K27" i="1"/>
  <c r="K29" i="1"/>
  <c r="J17" i="1"/>
  <c r="J21" i="1"/>
  <c r="L25" i="1"/>
  <c r="L29" i="1"/>
  <c r="J29" i="1"/>
  <c r="O27" i="1"/>
  <c r="L27" i="1"/>
  <c r="N27" i="1" s="1"/>
  <c r="J27" i="1"/>
  <c r="O26" i="1"/>
  <c r="L26" i="1"/>
  <c r="N26" i="1" s="1"/>
  <c r="J26" i="1"/>
  <c r="O41" i="1"/>
  <c r="L41" i="1"/>
  <c r="N41" i="1" s="1"/>
  <c r="J41" i="1"/>
  <c r="O23" i="1"/>
  <c r="L23" i="1"/>
  <c r="M23" i="1" s="1"/>
  <c r="J23" i="1"/>
  <c r="L21" i="1"/>
  <c r="N21" i="1" s="1"/>
  <c r="O20" i="1"/>
  <c r="L20" i="1"/>
  <c r="N20" i="1" s="1"/>
  <c r="J20" i="1"/>
  <c r="O19" i="1"/>
  <c r="L19" i="1"/>
  <c r="N19" i="1" s="1"/>
  <c r="J19" i="1"/>
  <c r="O17" i="1"/>
  <c r="L17" i="1"/>
  <c r="Q24" i="1" l="1"/>
  <c r="R24" i="1"/>
  <c r="H43" i="1"/>
  <c r="R25" i="1"/>
  <c r="Q25" i="1"/>
  <c r="Q43" i="1" s="1"/>
  <c r="O24" i="1"/>
  <c r="K25" i="1"/>
  <c r="M38" i="1"/>
  <c r="L9" i="1"/>
  <c r="K24" i="1"/>
  <c r="J24" i="1"/>
  <c r="K9" i="1"/>
  <c r="O25" i="1"/>
  <c r="N25" i="1"/>
  <c r="O21" i="1"/>
  <c r="N24" i="1"/>
  <c r="N29" i="1"/>
  <c r="N17" i="1"/>
  <c r="N23" i="1"/>
  <c r="J18" i="1"/>
  <c r="O18" i="1"/>
  <c r="J22" i="1"/>
  <c r="O22" i="1"/>
  <c r="M25" i="1"/>
  <c r="J25" i="1"/>
  <c r="O29" i="1"/>
  <c r="M18" i="1"/>
  <c r="N22" i="1"/>
  <c r="M27" i="1"/>
  <c r="M41" i="1"/>
  <c r="M22" i="1"/>
  <c r="M20" i="1"/>
  <c r="M19" i="1"/>
  <c r="M26" i="1"/>
  <c r="M17" i="1"/>
  <c r="N18" i="1"/>
  <c r="M21" i="1"/>
  <c r="M24" i="1"/>
  <c r="M29" i="1"/>
  <c r="J10" i="1"/>
  <c r="J11" i="1"/>
  <c r="J12" i="1"/>
  <c r="J33" i="1"/>
  <c r="J13" i="1"/>
  <c r="J16" i="1"/>
  <c r="J36" i="1"/>
  <c r="J37" i="1"/>
  <c r="J35" i="1"/>
  <c r="J39" i="1"/>
  <c r="J40" i="1"/>
  <c r="J9" i="1"/>
  <c r="L40" i="1"/>
  <c r="N40" i="1" s="1"/>
  <c r="O40" i="1"/>
  <c r="L39" i="1"/>
  <c r="N39" i="1" s="1"/>
  <c r="O39" i="1"/>
  <c r="L35" i="1"/>
  <c r="N35" i="1" s="1"/>
  <c r="O35" i="1"/>
  <c r="L37" i="1"/>
  <c r="N37" i="1" s="1"/>
  <c r="O37" i="1"/>
  <c r="L36" i="1"/>
  <c r="N36" i="1" s="1"/>
  <c r="O36" i="1"/>
  <c r="O16" i="1"/>
  <c r="L16" i="1"/>
  <c r="N16" i="1" s="1"/>
  <c r="O13" i="1"/>
  <c r="L13" i="1"/>
  <c r="M13" i="1" s="1"/>
  <c r="O33" i="1"/>
  <c r="L33" i="1"/>
  <c r="N33" i="1" s="1"/>
  <c r="O12" i="1"/>
  <c r="L12" i="1"/>
  <c r="N12" i="1" s="1"/>
  <c r="O10" i="1"/>
  <c r="O11" i="1"/>
  <c r="O9" i="1"/>
  <c r="L10" i="1"/>
  <c r="N10" i="1" s="1"/>
  <c r="L11" i="1"/>
  <c r="N11" i="1" s="1"/>
  <c r="N9" i="1" l="1"/>
  <c r="L43" i="1"/>
  <c r="L44" i="1" s="1"/>
  <c r="M9" i="1"/>
  <c r="K43" i="1"/>
  <c r="E5" i="1"/>
  <c r="E4" i="1"/>
  <c r="N13" i="1"/>
  <c r="M16" i="1"/>
  <c r="M11" i="1"/>
  <c r="M35" i="1"/>
  <c r="M40" i="1"/>
  <c r="M37" i="1"/>
  <c r="M33" i="1"/>
  <c r="M10" i="1"/>
  <c r="O43" i="1"/>
  <c r="O44" i="1" s="1"/>
  <c r="M39" i="1"/>
  <c r="M36" i="1"/>
  <c r="M12" i="1"/>
  <c r="I44" i="1"/>
  <c r="N43" i="1" l="1"/>
  <c r="E6" i="1"/>
</calcChain>
</file>

<file path=xl/sharedStrings.xml><?xml version="1.0" encoding="utf-8"?>
<sst xmlns="http://schemas.openxmlformats.org/spreadsheetml/2006/main" count="392" uniqueCount="200">
  <si>
    <t>Card</t>
  </si>
  <si>
    <t>Set</t>
  </si>
  <si>
    <t>Condition</t>
  </si>
  <si>
    <t>price paid</t>
  </si>
  <si>
    <t>Necropotence</t>
  </si>
  <si>
    <t>Eternal Masters</t>
  </si>
  <si>
    <t>NM</t>
  </si>
  <si>
    <t>Gilded Lotus</t>
  </si>
  <si>
    <t>Dominaria</t>
  </si>
  <si>
    <t>Rune Scar Demon</t>
  </si>
  <si>
    <t>Iconic Masters</t>
  </si>
  <si>
    <t>Buy Date</t>
  </si>
  <si>
    <t>Store Credit (CK)</t>
  </si>
  <si>
    <t>Store Credit %</t>
  </si>
  <si>
    <t>CC Kickback</t>
  </si>
  <si>
    <t xml:space="preserve">Credit Card Kickback </t>
  </si>
  <si>
    <t>Amonket</t>
  </si>
  <si>
    <t>Rhythm of the Wild</t>
  </si>
  <si>
    <t>Ravnica Allegiance</t>
  </si>
  <si>
    <t>Tithe Taker</t>
  </si>
  <si>
    <t>Unbreakable Formation</t>
  </si>
  <si>
    <t>Foil</t>
  </si>
  <si>
    <t>N</t>
  </si>
  <si>
    <t>Y</t>
  </si>
  <si>
    <t>% Difference</t>
  </si>
  <si>
    <t>TOTALS</t>
  </si>
  <si>
    <t>MUST EQUAL BUYLIST CREDIT PRICE</t>
  </si>
  <si>
    <t>Net Credit</t>
  </si>
  <si>
    <t>Solemnity</t>
  </si>
  <si>
    <t>Hour of Devastation</t>
  </si>
  <si>
    <t>Commander 2013</t>
  </si>
  <si>
    <t>Knowledge Pool</t>
  </si>
  <si>
    <t>Mirrodin Beseiged</t>
  </si>
  <si>
    <t>MP</t>
  </si>
  <si>
    <t>LP</t>
  </si>
  <si>
    <t>Insurrection</t>
  </si>
  <si>
    <t>Onslaught</t>
  </si>
  <si>
    <t>Muddle the Mixture</t>
  </si>
  <si>
    <t>Ravnica: City of Guilds</t>
  </si>
  <si>
    <t>Skargaan Hellkite</t>
  </si>
  <si>
    <t>**Shipping and taxes included in paid price split among cards in the order</t>
  </si>
  <si>
    <t>*Condition price for buylist reflected*</t>
  </si>
  <si>
    <t>MUST BE 8000+ EDHREC DECKS FOR EDH SPEC</t>
  </si>
  <si>
    <t>BL %</t>
  </si>
  <si>
    <t>SC %</t>
  </si>
  <si>
    <t>Comment</t>
  </si>
  <si>
    <t>Buylist $</t>
  </si>
  <si>
    <t>True Spec</t>
  </si>
  <si>
    <t>For Play</t>
  </si>
  <si>
    <t>Quantity</t>
  </si>
  <si>
    <t>Commander 2016</t>
  </si>
  <si>
    <t>Blasphemous Act</t>
  </si>
  <si>
    <t>Commander AVII</t>
  </si>
  <si>
    <t>Chaos Warp</t>
  </si>
  <si>
    <t>Skyline Despot</t>
  </si>
  <si>
    <t>Conspiracy TTC</t>
  </si>
  <si>
    <t>Death Baron</t>
  </si>
  <si>
    <t>Grafdigger's Cage</t>
  </si>
  <si>
    <t>Dark Ascension</t>
  </si>
  <si>
    <t>Goblin Bombardment</t>
  </si>
  <si>
    <t>Duel Decks: Speed vs. Cunning</t>
  </si>
  <si>
    <t>Crypt Ghast</t>
  </si>
  <si>
    <t>Gatecrash</t>
  </si>
  <si>
    <t>Chromatic Lantern</t>
  </si>
  <si>
    <t>Guilds of Ravnica</t>
  </si>
  <si>
    <t>Godsend</t>
  </si>
  <si>
    <t>Journey into Nyx</t>
  </si>
  <si>
    <t>Reliquary Tower</t>
  </si>
  <si>
    <t>Magic 2013</t>
  </si>
  <si>
    <t>Tendershoot Dryad</t>
  </si>
  <si>
    <t>Rivals of Ixalan</t>
  </si>
  <si>
    <t>Prized Amalgam</t>
  </si>
  <si>
    <t>Shadows Over Innistrad</t>
  </si>
  <si>
    <t>Stalking Vengeance</t>
  </si>
  <si>
    <t>Fearie Artisans</t>
  </si>
  <si>
    <t>Buy-in</t>
  </si>
  <si>
    <t>Est. Retail Value</t>
  </si>
  <si>
    <t>www.mtgstocks.com</t>
  </si>
  <si>
    <t xml:space="preserve">Postage to Mail 33 cards to Card Kingdom </t>
  </si>
  <si>
    <t>Time Spent to Research and Buy/Track Cards</t>
  </si>
  <si>
    <t>Hours</t>
  </si>
  <si>
    <t>Sales Tax Paid</t>
  </si>
  <si>
    <t>Percent of Total Cost</t>
  </si>
  <si>
    <t>SPEC Y/N</t>
  </si>
  <si>
    <t>Overall</t>
  </si>
  <si>
    <t>Had to buy other cards to get over a $2.00 transaction</t>
  </si>
  <si>
    <t>Total</t>
  </si>
  <si>
    <t>Cash Buylist is Card Kingdom on Buy Date</t>
  </si>
  <si>
    <t>Queen Marchesa</t>
  </si>
  <si>
    <t>Lux Cannon</t>
  </si>
  <si>
    <t>Scars of Mirrodin</t>
  </si>
  <si>
    <t>arbitrage opportunity off 20% coupon</t>
  </si>
  <si>
    <t>* added Queen Marchesa and Lux Cannon Buys</t>
  </si>
  <si>
    <t>Domri, Chaos Bringer</t>
  </si>
  <si>
    <t>Shards of Alara</t>
  </si>
  <si>
    <t>Shalai, Voice of Plenty</t>
  </si>
  <si>
    <t>Guardian Project</t>
  </si>
  <si>
    <t>Hold</t>
  </si>
  <si>
    <t>L</t>
  </si>
  <si>
    <t>Long Hold</t>
  </si>
  <si>
    <t>Medium Hold</t>
  </si>
  <si>
    <t>M</t>
  </si>
  <si>
    <t>S</t>
  </si>
  <si>
    <t>Short Hold</t>
  </si>
  <si>
    <t>% Gain</t>
  </si>
  <si>
    <t>Sold</t>
  </si>
  <si>
    <t>Found out Green/Red least played Commander colors. Sold at a loss</t>
  </si>
  <si>
    <t>Buylist tripled, but did not hit my buy-in amount. Sold at a loss to move</t>
  </si>
  <si>
    <t>Buylisted Cards to move due to Standard or Opportunity for profit</t>
  </si>
  <si>
    <t>Buylisted</t>
  </si>
  <si>
    <t>Godsend (2)</t>
  </si>
  <si>
    <t>Ebay Sale</t>
  </si>
  <si>
    <t>Sold two copies on Ebay for $13.99 before fees and shipping. I noticed the buylist dropping and the price stablizing. I wanted to go ahead and exit.</t>
  </si>
  <si>
    <t>Sold on Ebay due to price stagnation at $13.99. Had to ship with a stamp to make money.</t>
  </si>
  <si>
    <t>*4 cents shipping per buylisted card to CK*</t>
  </si>
  <si>
    <t>Tithe Taker, Thicket, Dryad, Goblin Bom, Death Ba,Unbreak F,G Lotus, Necropotence</t>
  </si>
  <si>
    <t>Retail Value of Cards</t>
  </si>
  <si>
    <t>Percentages to Overall Buy-in $</t>
  </si>
  <si>
    <t>* roll-up before selling cards</t>
  </si>
  <si>
    <t>$ Buy-in</t>
  </si>
  <si>
    <t>Net Sales $</t>
  </si>
  <si>
    <t xml:space="preserve">Gain/Loss $ </t>
  </si>
  <si>
    <t>Queen Marchesa (3)</t>
  </si>
  <si>
    <t>Priced to sell. Buylists lost value and demand is low.</t>
  </si>
  <si>
    <t>Buylist to CK</t>
  </si>
  <si>
    <t>Lux Cannon (4), Guardian Project, Rhythm of the Wild, Shalai</t>
  </si>
  <si>
    <t>Buylisted Cards to move due to a buyout of Guardian Project foil, Lux Cannon increase, Shalai stagnation, Rhythm upward movement</t>
  </si>
  <si>
    <t>Selling Transactions</t>
  </si>
  <si>
    <t>Discounted %</t>
  </si>
  <si>
    <t>Totals</t>
  </si>
  <si>
    <t>Purchase Shipping Costs</t>
  </si>
  <si>
    <t>Ebay Fee % of Final Sale</t>
  </si>
  <si>
    <t>Net $ if Buylist</t>
  </si>
  <si>
    <t xml:space="preserve">Net Sold $ </t>
  </si>
  <si>
    <t>Net Profit $</t>
  </si>
  <si>
    <t>Time Spent to Buylist, Ship, and Sell Cards</t>
  </si>
  <si>
    <t>Sheltered Thicket</t>
  </si>
  <si>
    <t>Received 20% discount due to not NM condition, Buylist graded as N/M</t>
  </si>
  <si>
    <t>Buylisted due to no change and graded as N/M</t>
  </si>
  <si>
    <t>SPREADSHEET KEY</t>
  </si>
  <si>
    <t>Date a card is bought</t>
  </si>
  <si>
    <t>The set the card is from</t>
  </si>
  <si>
    <t>Is it a foil? Yes (Y) or No (N)</t>
  </si>
  <si>
    <t>Is this a speculation card? Yes (Y) or No (N)</t>
  </si>
  <si>
    <t>What was the total price of the card paid?</t>
  </si>
  <si>
    <t>What was the current Buylist price for cash in dollars from Card Kingdom?</t>
  </si>
  <si>
    <t xml:space="preserve">What is the spread of the price paid divided by the buylist price? </t>
  </si>
  <si>
    <t>What would the store credit be with a 30% increase from the buylist cash price?</t>
  </si>
  <si>
    <t>What is the net dollar gain or loss of the price paid minus the buylist cash price?</t>
  </si>
  <si>
    <t>What is the store credit percentage above or below the paid price?</t>
  </si>
  <si>
    <t>What is the net credit gained from the paid price minus the credit amount?</t>
  </si>
  <si>
    <t>Is the card Near Mint (NM) Light Play (LP) or Heavy Play (HP)?</t>
  </si>
  <si>
    <t>How many of a card was bought?</t>
  </si>
  <si>
    <t>What is the net buylisted or sold price minus shipping and fees?</t>
  </si>
  <si>
    <t>What is the buylisted or sold price in cash?</t>
  </si>
  <si>
    <t>What is the amount of Credit Card Kickback in cash at 1.5%?</t>
  </si>
  <si>
    <t xml:space="preserve">What is the net percentage gain or loss in dollars from selling the card? </t>
  </si>
  <si>
    <t xml:space="preserve">Card Name. Different formating colors dictate whether the card is still in possession to sell, sold, or only bought for playing </t>
  </si>
  <si>
    <t>Updated total value</t>
  </si>
  <si>
    <t>* sold and buylisted multiple cards</t>
  </si>
  <si>
    <t>Comments</t>
  </si>
  <si>
    <t>Notes about why I bought or sold a card. It could also include other specifics.</t>
  </si>
  <si>
    <t>How long should I hold onto the card? L for Long (5+ Months), M for Medium (3-4 Months), S for Short (1-2 months).</t>
  </si>
  <si>
    <t>CONDITIONAL FORMATING USED</t>
  </si>
  <si>
    <t>YELLOW</t>
  </si>
  <si>
    <t>RED</t>
  </si>
  <si>
    <t>Profitable sale of a card or buylist cash price is higher than purchase price when the card was bought</t>
  </si>
  <si>
    <t>sold card at a loss or the buylist spread is very unfavorable compared to the purchase price</t>
  </si>
  <si>
    <t>Sold to make a profit due to buylist price</t>
  </si>
  <si>
    <t>Trade</t>
  </si>
  <si>
    <t>Profit Excluding the additional 20% discount for Queen Marchesa and Lux Cannon ($6.56 extra profit)</t>
  </si>
  <si>
    <t xml:space="preserve">Traded three away at $3.25 in value. Buylist cash price equivlent is $2.50 each. Planeswalkers usually bottom at $3.00 in Standard. Test to see if it goes up soon. </t>
  </si>
  <si>
    <t>Traded in for store credit</t>
  </si>
  <si>
    <t>Looked at wrong edition for pricing. Traded in for store credit</t>
  </si>
  <si>
    <t>*final sale date of remaining speculation cards</t>
  </si>
  <si>
    <t>Trade at LGS</t>
  </si>
  <si>
    <t>Prized Amalgam, Rune-scar Demon, Reliquary Tower, Faerie Artisans, Grafdigger's Cage, Blasphemous Act, Chaos Warp, Skyline Despot</t>
  </si>
  <si>
    <t>Profit From Selling</t>
  </si>
  <si>
    <t>(without for play buys)</t>
  </si>
  <si>
    <t>(without for play buys &amp; promotion discount)</t>
  </si>
  <si>
    <t>Buy-in $</t>
  </si>
  <si>
    <t>Margin %</t>
  </si>
  <si>
    <t>Everything bought</t>
  </si>
  <si>
    <t>Difference</t>
  </si>
  <si>
    <t>Total Sales $ + CC kickback</t>
  </si>
  <si>
    <t>Buylisted because pricing was favorable at $5.00 per card</t>
  </si>
  <si>
    <t>Traded to other players at close to buy-in value. Demand dried up for the card. Bought on a hunch to see if it could increase over time.</t>
  </si>
  <si>
    <t>Liquidated remaining speculations. Grafdigger's Cage went up due to Modern Horizons. Other cards sold at a loss.</t>
  </si>
  <si>
    <t>Buylisted to liquidate</t>
  </si>
  <si>
    <t>Buylisted for a small profit and to liquidate.</t>
  </si>
  <si>
    <t>Buylisted for a profit.</t>
  </si>
  <si>
    <t>Buylisted due to slow/no growth</t>
  </si>
  <si>
    <t>Flipped immediately due to zombie hype</t>
  </si>
  <si>
    <t>Bought to get over $2.00 minimum on TCGPlayer, buylist $ almost tripled</t>
  </si>
  <si>
    <t>Bought for EDH Play. Not intending to sell</t>
  </si>
  <si>
    <t>Decided to keep for EDH Play</t>
  </si>
  <si>
    <t>Bought for Standard Play. Not intending to sell.</t>
  </si>
  <si>
    <t>Ebay promotion coupon buy, arbitrage opportunity to play in Standard</t>
  </si>
  <si>
    <t>Without Promotional Discount</t>
  </si>
  <si>
    <t xml:space="preserve"> Everything bought without promotional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</si>
</sst>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C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7C8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0" applyNumberFormat="1"/>
    <xf numFmtId="0" fontId="2" fillId="0" borderId="0" xfId="0" applyFont="1"/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164" fontId="0" fillId="0" borderId="0" xfId="2" applyNumberFormat="1" applyFont="1" applyAlignmen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4" borderId="0" xfId="2" applyNumberFormat="1" applyFont="1" applyFill="1" applyAlignment="1"/>
    <xf numFmtId="1" fontId="0" fillId="0" borderId="2" xfId="0" applyNumberFormat="1" applyBorder="1" applyAlignment="1">
      <alignment horizontal="center"/>
    </xf>
    <xf numFmtId="9" fontId="2" fillId="0" borderId="0" xfId="2" applyFont="1"/>
    <xf numFmtId="8" fontId="2" fillId="0" borderId="0" xfId="0" applyNumberFormat="1" applyFont="1"/>
    <xf numFmtId="10" fontId="2" fillId="0" borderId="0" xfId="0" applyNumberFormat="1" applyFont="1"/>
    <xf numFmtId="164" fontId="2" fillId="0" borderId="0" xfId="2" applyNumberFormat="1" applyFont="1" applyAlignment="1">
      <alignment horizontal="center"/>
    </xf>
    <xf numFmtId="44" fontId="2" fillId="0" borderId="0" xfId="1" applyFont="1" applyAlignment="1">
      <alignment horizontal="center"/>
    </xf>
    <xf numFmtId="14" fontId="4" fillId="0" borderId="0" xfId="3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9" fontId="0" fillId="0" borderId="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164" fontId="0" fillId="0" borderId="0" xfId="2" applyNumberFormat="1" applyFont="1" applyFill="1" applyAlignment="1"/>
    <xf numFmtId="44" fontId="2" fillId="0" borderId="1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0" xfId="0" applyFont="1" applyAlignment="1">
      <alignment horizontal="center"/>
    </xf>
    <xf numFmtId="44" fontId="1" fillId="0" borderId="0" xfId="1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4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6" borderId="0" xfId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44" fontId="0" fillId="0" borderId="0" xfId="1" applyFont="1"/>
    <xf numFmtId="164" fontId="0" fillId="0" borderId="0" xfId="2" applyNumberFormat="1" applyFont="1"/>
    <xf numFmtId="164" fontId="0" fillId="0" borderId="0" xfId="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2" xfId="2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0" fillId="0" borderId="2" xfId="1" applyFont="1" applyBorder="1" applyAlignment="1">
      <alignment horizontal="center"/>
    </xf>
    <xf numFmtId="164" fontId="0" fillId="0" borderId="0" xfId="2" applyNumberFormat="1" applyFont="1" applyFill="1" applyAlignment="1">
      <alignment horizontal="center"/>
    </xf>
    <xf numFmtId="9" fontId="2" fillId="0" borderId="0" xfId="2" applyFont="1" applyFill="1" applyAlignment="1">
      <alignment horizontal="center"/>
    </xf>
    <xf numFmtId="44" fontId="0" fillId="0" borderId="0" xfId="0" applyNumberFormat="1" applyFill="1"/>
    <xf numFmtId="0" fontId="0" fillId="0" borderId="0" xfId="0" applyFill="1"/>
    <xf numFmtId="164" fontId="0" fillId="0" borderId="0" xfId="2" applyNumberFormat="1" applyFont="1" applyFill="1"/>
    <xf numFmtId="44" fontId="0" fillId="0" borderId="0" xfId="1" applyFont="1" applyFill="1"/>
    <xf numFmtId="0" fontId="0" fillId="0" borderId="0" xfId="0" applyFont="1"/>
    <xf numFmtId="44" fontId="0" fillId="0" borderId="2" xfId="0" applyNumberFormat="1" applyFill="1" applyBorder="1" applyAlignment="1">
      <alignment horizontal="center"/>
    </xf>
    <xf numFmtId="44" fontId="0" fillId="0" borderId="1" xfId="0" applyNumberFormat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tg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359EE-F12D-45C7-AB80-3A4B19FC0C14}">
  <dimension ref="A1:P27"/>
  <sheetViews>
    <sheetView workbookViewId="0">
      <selection activeCell="F16" sqref="F16"/>
    </sheetView>
  </sheetViews>
  <sheetFormatPr defaultRowHeight="15" x14ac:dyDescent="0.25"/>
  <cols>
    <col min="1" max="1" width="14.5703125" customWidth="1"/>
    <col min="2" max="2" width="8.7109375" style="48"/>
  </cols>
  <sheetData>
    <row r="1" spans="1:16" ht="15.75" x14ac:dyDescent="0.25">
      <c r="B1" s="50" t="s">
        <v>139</v>
      </c>
    </row>
    <row r="3" spans="1:16" x14ac:dyDescent="0.25">
      <c r="A3" s="29" t="s">
        <v>11</v>
      </c>
      <c r="B3" s="49" t="s">
        <v>140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25">
      <c r="A4" s="29" t="s">
        <v>83</v>
      </c>
      <c r="B4" s="49" t="s">
        <v>143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x14ac:dyDescent="0.25">
      <c r="A5" s="29" t="s">
        <v>0</v>
      </c>
      <c r="B5" s="49" t="s">
        <v>157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34" t="s">
        <v>47</v>
      </c>
      <c r="O5" s="36" t="s">
        <v>105</v>
      </c>
      <c r="P5" s="35" t="s">
        <v>48</v>
      </c>
    </row>
    <row r="6" spans="1:16" x14ac:dyDescent="0.25">
      <c r="A6" s="29" t="s">
        <v>1</v>
      </c>
      <c r="B6" s="49" t="s">
        <v>141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x14ac:dyDescent="0.25">
      <c r="A7" s="29" t="s">
        <v>49</v>
      </c>
      <c r="B7" s="49" t="s">
        <v>152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x14ac:dyDescent="0.25">
      <c r="A8" s="29" t="s">
        <v>21</v>
      </c>
      <c r="B8" s="49" t="s">
        <v>142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x14ac:dyDescent="0.25">
      <c r="A9" s="29" t="s">
        <v>2</v>
      </c>
      <c r="B9" s="49" t="s">
        <v>151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x14ac:dyDescent="0.25">
      <c r="A10" s="29" t="s">
        <v>3</v>
      </c>
      <c r="B10" s="49" t="s">
        <v>144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5">
      <c r="A11" s="29" t="s">
        <v>46</v>
      </c>
      <c r="B11" s="49" t="s">
        <v>145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x14ac:dyDescent="0.25">
      <c r="A12" s="29" t="s">
        <v>43</v>
      </c>
      <c r="B12" s="49" t="s">
        <v>146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x14ac:dyDescent="0.25">
      <c r="A13" s="29" t="s">
        <v>132</v>
      </c>
      <c r="B13" s="49" t="s">
        <v>148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x14ac:dyDescent="0.25">
      <c r="A14" s="29" t="s">
        <v>12</v>
      </c>
      <c r="B14" s="49" t="s">
        <v>147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A15" s="29" t="s">
        <v>44</v>
      </c>
      <c r="B15" s="49" t="s">
        <v>149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x14ac:dyDescent="0.25">
      <c r="A16" s="29" t="s">
        <v>27</v>
      </c>
      <c r="B16" s="49" t="s">
        <v>150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x14ac:dyDescent="0.25">
      <c r="A17" s="33" t="s">
        <v>14</v>
      </c>
      <c r="B17" s="49" t="s">
        <v>155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x14ac:dyDescent="0.25">
      <c r="A18" s="33" t="s">
        <v>133</v>
      </c>
      <c r="B18" s="49" t="s">
        <v>154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x14ac:dyDescent="0.25">
      <c r="A19" s="33" t="s">
        <v>134</v>
      </c>
      <c r="B19" s="49" t="s">
        <v>153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x14ac:dyDescent="0.25">
      <c r="A20" s="33" t="s">
        <v>104</v>
      </c>
      <c r="B20" s="49" t="s">
        <v>156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x14ac:dyDescent="0.25">
      <c r="A21" s="33" t="s">
        <v>97</v>
      </c>
      <c r="B21" s="49" t="s">
        <v>162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x14ac:dyDescent="0.25">
      <c r="A22" s="33" t="s">
        <v>160</v>
      </c>
      <c r="B22" s="49" t="s">
        <v>161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4" spans="1:16" ht="15.75" x14ac:dyDescent="0.25">
      <c r="A24" s="51"/>
      <c r="B24" s="52" t="s">
        <v>163</v>
      </c>
    </row>
    <row r="25" spans="1:16" ht="15.75" x14ac:dyDescent="0.25">
      <c r="A25" s="51"/>
      <c r="B25" s="52"/>
    </row>
    <row r="26" spans="1:16" x14ac:dyDescent="0.25">
      <c r="A26" s="6" t="s">
        <v>164</v>
      </c>
      <c r="B26" s="49" t="s">
        <v>166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53" t="s">
        <v>165</v>
      </c>
      <c r="B27" s="49" t="s">
        <v>167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</sheetData>
  <conditionalFormatting sqref="A26">
    <cfRule type="cellIs" dxfId="10" priority="7" operator="greaterThan">
      <formula>0.999</formula>
    </cfRule>
  </conditionalFormatting>
  <conditionalFormatting sqref="A27">
    <cfRule type="top10" dxfId="9" priority="1" percent="1" rank="10"/>
    <cfRule type="top10" dxfId="8" priority="2" percent="1" bottom="1" rank="1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1"/>
  <sheetViews>
    <sheetView tabSelected="1" topLeftCell="A34" zoomScale="90" zoomScaleNormal="90" workbookViewId="0">
      <selection activeCell="T54" sqref="T54:U54"/>
    </sheetView>
  </sheetViews>
  <sheetFormatPr defaultRowHeight="15" x14ac:dyDescent="0.25"/>
  <cols>
    <col min="1" max="1" width="11.5703125" style="2" customWidth="1"/>
    <col min="2" max="2" width="11.28515625" style="2" customWidth="1"/>
    <col min="3" max="3" width="24.28515625" style="2" customWidth="1"/>
    <col min="4" max="4" width="16.7109375" style="2" customWidth="1"/>
    <col min="5" max="5" width="9.5703125" style="2" bestFit="1" customWidth="1"/>
    <col min="6" max="6" width="11.140625" style="2" customWidth="1"/>
    <col min="7" max="7" width="11.28515625" style="2" customWidth="1"/>
    <col min="8" max="8" width="10.140625" style="2" customWidth="1"/>
    <col min="9" max="9" width="9.85546875" style="2" customWidth="1"/>
    <col min="10" max="10" width="10.5703125" style="2" customWidth="1"/>
    <col min="11" max="11" width="13.140625" style="2" customWidth="1"/>
    <col min="12" max="12" width="15.85546875" style="2" customWidth="1"/>
    <col min="13" max="13" width="5.85546875" style="2" customWidth="1"/>
    <col min="14" max="14" width="11" style="2" customWidth="1"/>
    <col min="15" max="15" width="11.5703125" customWidth="1"/>
    <col min="16" max="16" width="11.140625" customWidth="1"/>
    <col min="17" max="17" width="11.42578125" customWidth="1"/>
    <col min="18" max="19" width="7.5703125" customWidth="1"/>
    <col min="22" max="22" width="8.5703125" customWidth="1"/>
  </cols>
  <sheetData>
    <row r="1" spans="1:24" x14ac:dyDescent="0.25">
      <c r="A1" s="28">
        <v>43624</v>
      </c>
      <c r="C1" s="15" t="s">
        <v>42</v>
      </c>
      <c r="G1" s="14"/>
      <c r="I1" s="8" t="s">
        <v>87</v>
      </c>
      <c r="J1" s="8"/>
      <c r="K1"/>
      <c r="O1" s="8" t="s">
        <v>131</v>
      </c>
      <c r="P1" s="8"/>
      <c r="Q1" s="22">
        <v>0.25</v>
      </c>
      <c r="R1" s="22"/>
      <c r="S1" s="8" t="s">
        <v>78</v>
      </c>
      <c r="T1" s="8"/>
      <c r="U1" s="8"/>
      <c r="V1" s="8"/>
      <c r="W1" s="23">
        <v>3.09</v>
      </c>
    </row>
    <row r="2" spans="1:24" x14ac:dyDescent="0.25">
      <c r="C2" s="15" t="s">
        <v>26</v>
      </c>
      <c r="G2" s="14"/>
      <c r="I2" s="34" t="s">
        <v>47</v>
      </c>
      <c r="J2" s="36" t="s">
        <v>105</v>
      </c>
      <c r="K2" s="35" t="s">
        <v>48</v>
      </c>
      <c r="O2" s="38" t="s">
        <v>13</v>
      </c>
      <c r="P2" s="8"/>
      <c r="Q2" s="22">
        <v>0.3</v>
      </c>
      <c r="R2" s="22"/>
      <c r="S2" s="8" t="s">
        <v>79</v>
      </c>
      <c r="T2" s="8"/>
      <c r="U2" s="8"/>
      <c r="V2" s="8"/>
      <c r="W2" s="10">
        <v>3</v>
      </c>
      <c r="X2" s="8" t="s">
        <v>80</v>
      </c>
    </row>
    <row r="3" spans="1:24" x14ac:dyDescent="0.25">
      <c r="C3" s="15" t="s">
        <v>40</v>
      </c>
      <c r="J3" s="19"/>
      <c r="K3" s="14" t="s">
        <v>41</v>
      </c>
      <c r="O3" s="38" t="s">
        <v>15</v>
      </c>
      <c r="P3" s="8"/>
      <c r="Q3" s="24">
        <v>1.4999999999999999E-2</v>
      </c>
      <c r="R3" s="24"/>
      <c r="S3" s="8" t="s">
        <v>135</v>
      </c>
      <c r="T3" s="8"/>
      <c r="U3" s="8"/>
      <c r="V3" s="8"/>
      <c r="W3" s="10">
        <v>2.5</v>
      </c>
      <c r="X3" s="8" t="s">
        <v>80</v>
      </c>
    </row>
    <row r="4" spans="1:24" x14ac:dyDescent="0.25">
      <c r="C4" s="10" t="s">
        <v>130</v>
      </c>
      <c r="D4" s="26">
        <v>8.4600000000000009</v>
      </c>
      <c r="E4" s="25">
        <f>D4/H43</f>
        <v>4.4974641957194347E-2</v>
      </c>
      <c r="F4" s="15" t="s">
        <v>82</v>
      </c>
      <c r="G4" s="10"/>
      <c r="J4" s="19"/>
      <c r="K4" s="14"/>
      <c r="O4" s="8"/>
      <c r="P4" s="8"/>
      <c r="Q4" s="24"/>
      <c r="R4" s="24"/>
      <c r="S4" s="10" t="s">
        <v>98</v>
      </c>
      <c r="T4" s="8" t="s">
        <v>99</v>
      </c>
      <c r="U4" s="8"/>
      <c r="V4" s="8"/>
      <c r="W4" s="8"/>
    </row>
    <row r="5" spans="1:24" x14ac:dyDescent="0.25">
      <c r="C5" s="10" t="s">
        <v>81</v>
      </c>
      <c r="D5" s="26">
        <v>10.67</v>
      </c>
      <c r="E5" s="25">
        <f>D5/H43</f>
        <v>5.6723336841993335E-2</v>
      </c>
      <c r="F5" s="15" t="s">
        <v>82</v>
      </c>
      <c r="G5" s="10"/>
      <c r="O5" s="8" t="s">
        <v>114</v>
      </c>
      <c r="Q5" s="7"/>
      <c r="R5" s="7"/>
      <c r="S5" s="10" t="s">
        <v>101</v>
      </c>
      <c r="T5" s="8" t="s">
        <v>100</v>
      </c>
    </row>
    <row r="6" spans="1:24" x14ac:dyDescent="0.25">
      <c r="C6" s="10" t="s">
        <v>86</v>
      </c>
      <c r="D6" s="26">
        <f>SUM(D4:D5)</f>
        <v>19.130000000000003</v>
      </c>
      <c r="E6" s="25">
        <f>SUM(E4:E5)</f>
        <v>0.10169797879918768</v>
      </c>
      <c r="F6" s="15"/>
      <c r="G6" s="10"/>
      <c r="Q6" s="7"/>
      <c r="R6" s="7"/>
      <c r="S6" s="10" t="s">
        <v>102</v>
      </c>
      <c r="T6" s="8" t="s">
        <v>103</v>
      </c>
    </row>
    <row r="7" spans="1:24" x14ac:dyDescent="0.25">
      <c r="C7" s="10"/>
      <c r="D7" s="26"/>
      <c r="E7" s="25"/>
      <c r="F7" s="15"/>
      <c r="G7" s="10"/>
      <c r="Q7" s="7"/>
      <c r="R7" s="7"/>
      <c r="S7" s="10"/>
      <c r="T7" s="8"/>
    </row>
    <row r="8" spans="1:24" x14ac:dyDescent="0.25">
      <c r="A8" s="29" t="s">
        <v>11</v>
      </c>
      <c r="B8" s="29" t="s">
        <v>83</v>
      </c>
      <c r="C8" s="29" t="s">
        <v>0</v>
      </c>
      <c r="D8" s="29" t="s">
        <v>1</v>
      </c>
      <c r="E8" s="29" t="s">
        <v>49</v>
      </c>
      <c r="F8" s="29" t="s">
        <v>21</v>
      </c>
      <c r="G8" s="29" t="s">
        <v>2</v>
      </c>
      <c r="H8" s="29" t="s">
        <v>3</v>
      </c>
      <c r="I8" s="29" t="s">
        <v>46</v>
      </c>
      <c r="J8" s="29" t="s">
        <v>43</v>
      </c>
      <c r="K8" s="29" t="s">
        <v>132</v>
      </c>
      <c r="L8" s="29" t="s">
        <v>12</v>
      </c>
      <c r="M8" s="29" t="s">
        <v>44</v>
      </c>
      <c r="N8" s="29" t="s">
        <v>27</v>
      </c>
      <c r="O8" s="33" t="s">
        <v>14</v>
      </c>
      <c r="P8" s="33" t="s">
        <v>133</v>
      </c>
      <c r="Q8" s="33" t="s">
        <v>134</v>
      </c>
      <c r="R8" s="33" t="s">
        <v>104</v>
      </c>
      <c r="S8" s="33" t="s">
        <v>97</v>
      </c>
      <c r="T8" s="33" t="s">
        <v>45</v>
      </c>
    </row>
    <row r="9" spans="1:24" x14ac:dyDescent="0.25">
      <c r="A9" s="9">
        <v>43558</v>
      </c>
      <c r="B9" s="9" t="s">
        <v>23</v>
      </c>
      <c r="C9" s="37" t="s">
        <v>4</v>
      </c>
      <c r="D9" s="2" t="s">
        <v>5</v>
      </c>
      <c r="E9" s="18">
        <v>1</v>
      </c>
      <c r="F9" s="2" t="s">
        <v>22</v>
      </c>
      <c r="G9" s="2" t="s">
        <v>34</v>
      </c>
      <c r="H9" s="4">
        <v>4.29</v>
      </c>
      <c r="I9" s="4">
        <v>3.6</v>
      </c>
      <c r="J9" s="6">
        <f t="shared" ref="J9:J41" si="0">I9/H9</f>
        <v>0.83916083916083917</v>
      </c>
      <c r="K9" s="4">
        <f t="shared" ref="K9:K41" si="1">SUM(I9-H9)</f>
        <v>-0.69</v>
      </c>
      <c r="L9" s="4">
        <f t="shared" ref="L9:L41" si="2">I9*(1+$Q$2)</f>
        <v>4.6800000000000006</v>
      </c>
      <c r="M9" s="6">
        <f t="shared" ref="M9:M41" si="3">L9/H9</f>
        <v>1.0909090909090911</v>
      </c>
      <c r="N9" s="4">
        <f t="shared" ref="N9:N41" si="4">L9-H9</f>
        <v>0.39000000000000057</v>
      </c>
      <c r="O9" s="1">
        <f>H9*$Q$3</f>
        <v>6.4350000000000004E-2</v>
      </c>
      <c r="P9" s="4">
        <v>4.96</v>
      </c>
      <c r="Q9" s="1">
        <f t="shared" ref="Q9:Q16" si="5">P9-H9</f>
        <v>0.66999999999999993</v>
      </c>
      <c r="R9" s="6">
        <f t="shared" ref="R9:R16" si="6">(P9/H9)-1</f>
        <v>0.15617715617715611</v>
      </c>
      <c r="S9" s="2" t="s">
        <v>98</v>
      </c>
      <c r="T9" t="s">
        <v>137</v>
      </c>
    </row>
    <row r="10" spans="1:24" x14ac:dyDescent="0.25">
      <c r="A10" s="9">
        <v>43558</v>
      </c>
      <c r="B10" s="9" t="s">
        <v>23</v>
      </c>
      <c r="C10" s="37" t="s">
        <v>7</v>
      </c>
      <c r="D10" s="2" t="s">
        <v>8</v>
      </c>
      <c r="E10" s="18">
        <v>1</v>
      </c>
      <c r="F10" s="2" t="s">
        <v>22</v>
      </c>
      <c r="G10" s="2" t="s">
        <v>6</v>
      </c>
      <c r="H10" s="4">
        <v>1.766</v>
      </c>
      <c r="I10" s="4">
        <v>2.25</v>
      </c>
      <c r="J10" s="6">
        <f t="shared" si="0"/>
        <v>1.2740656851642129</v>
      </c>
      <c r="K10" s="4">
        <f t="shared" si="1"/>
        <v>0.48399999999999999</v>
      </c>
      <c r="L10" s="4">
        <f t="shared" si="2"/>
        <v>2.9250000000000003</v>
      </c>
      <c r="M10" s="6">
        <f t="shared" si="3"/>
        <v>1.6562853907134769</v>
      </c>
      <c r="N10" s="4">
        <f t="shared" si="4"/>
        <v>1.1590000000000003</v>
      </c>
      <c r="O10" s="1">
        <f>H10*$Q$3</f>
        <v>2.649E-2</v>
      </c>
      <c r="P10" s="4">
        <v>2.21</v>
      </c>
      <c r="Q10" s="1">
        <f t="shared" si="5"/>
        <v>0.44399999999999995</v>
      </c>
      <c r="R10" s="6">
        <f t="shared" si="6"/>
        <v>0.2514156285390714</v>
      </c>
      <c r="S10" s="2" t="s">
        <v>98</v>
      </c>
      <c r="T10" s="69" t="s">
        <v>190</v>
      </c>
    </row>
    <row r="11" spans="1:24" x14ac:dyDescent="0.25">
      <c r="A11" s="9">
        <v>43558</v>
      </c>
      <c r="B11" s="9" t="s">
        <v>23</v>
      </c>
      <c r="C11" s="37" t="s">
        <v>9</v>
      </c>
      <c r="D11" s="2" t="s">
        <v>10</v>
      </c>
      <c r="E11" s="18">
        <v>1</v>
      </c>
      <c r="F11" s="2" t="s">
        <v>22</v>
      </c>
      <c r="G11" s="2" t="s">
        <v>34</v>
      </c>
      <c r="H11" s="4">
        <v>2.5299999999999998</v>
      </c>
      <c r="I11" s="4">
        <v>2</v>
      </c>
      <c r="J11" s="6">
        <f t="shared" si="0"/>
        <v>0.79051383399209496</v>
      </c>
      <c r="K11" s="4">
        <f t="shared" si="1"/>
        <v>-0.5299999999999998</v>
      </c>
      <c r="L11" s="4">
        <f t="shared" si="2"/>
        <v>2.6</v>
      </c>
      <c r="M11" s="6">
        <f t="shared" si="3"/>
        <v>1.0276679841897234</v>
      </c>
      <c r="N11" s="4">
        <f t="shared" si="4"/>
        <v>7.0000000000000284E-2</v>
      </c>
      <c r="O11" s="1">
        <f>H11*$Q$3</f>
        <v>3.7949999999999998E-2</v>
      </c>
      <c r="P11" s="4">
        <v>2.2000000000000002</v>
      </c>
      <c r="Q11" s="1">
        <f t="shared" si="5"/>
        <v>-0.32999999999999963</v>
      </c>
      <c r="R11" s="6">
        <f t="shared" si="6"/>
        <v>-0.13043478260869557</v>
      </c>
      <c r="S11" s="2" t="s">
        <v>98</v>
      </c>
      <c r="T11" t="s">
        <v>172</v>
      </c>
    </row>
    <row r="12" spans="1:24" x14ac:dyDescent="0.25">
      <c r="A12" s="9">
        <v>43558</v>
      </c>
      <c r="B12" s="9" t="s">
        <v>23</v>
      </c>
      <c r="C12" s="37" t="s">
        <v>136</v>
      </c>
      <c r="D12" s="2" t="s">
        <v>16</v>
      </c>
      <c r="E12" s="18">
        <v>1</v>
      </c>
      <c r="F12" s="2" t="s">
        <v>22</v>
      </c>
      <c r="G12" s="2" t="s">
        <v>6</v>
      </c>
      <c r="H12" s="4">
        <v>0.68</v>
      </c>
      <c r="I12" s="4">
        <v>0.5</v>
      </c>
      <c r="J12" s="6">
        <f t="shared" si="0"/>
        <v>0.73529411764705876</v>
      </c>
      <c r="K12" s="4">
        <f t="shared" si="1"/>
        <v>-0.18000000000000005</v>
      </c>
      <c r="L12" s="4">
        <f t="shared" si="2"/>
        <v>0.65</v>
      </c>
      <c r="M12" s="6">
        <f t="shared" si="3"/>
        <v>0.95588235294117641</v>
      </c>
      <c r="N12" s="4">
        <f t="shared" si="4"/>
        <v>-3.0000000000000027E-2</v>
      </c>
      <c r="O12" s="1">
        <f>H12*$Q$3</f>
        <v>1.0200000000000001E-2</v>
      </c>
      <c r="P12" s="4">
        <v>0.32</v>
      </c>
      <c r="Q12" s="1">
        <f t="shared" si="5"/>
        <v>-0.36000000000000004</v>
      </c>
      <c r="R12" s="6">
        <f t="shared" si="6"/>
        <v>-0.52941176470588236</v>
      </c>
      <c r="S12" s="2" t="s">
        <v>98</v>
      </c>
      <c r="T12" t="s">
        <v>106</v>
      </c>
    </row>
    <row r="13" spans="1:24" x14ac:dyDescent="0.25">
      <c r="A13" s="9">
        <v>43558</v>
      </c>
      <c r="B13" s="9" t="s">
        <v>23</v>
      </c>
      <c r="C13" s="37" t="s">
        <v>19</v>
      </c>
      <c r="D13" s="2" t="s">
        <v>18</v>
      </c>
      <c r="E13" s="18">
        <v>1</v>
      </c>
      <c r="F13" s="2" t="s">
        <v>22</v>
      </c>
      <c r="G13" s="2" t="s">
        <v>6</v>
      </c>
      <c r="H13" s="4">
        <v>0.88</v>
      </c>
      <c r="I13" s="4">
        <v>1.6</v>
      </c>
      <c r="J13" s="6">
        <f t="shared" si="0"/>
        <v>1.8181818181818183</v>
      </c>
      <c r="K13" s="4">
        <f t="shared" si="1"/>
        <v>0.72000000000000008</v>
      </c>
      <c r="L13" s="4">
        <f t="shared" si="2"/>
        <v>2.08</v>
      </c>
      <c r="M13" s="6">
        <f t="shared" si="3"/>
        <v>2.3636363636363638</v>
      </c>
      <c r="N13" s="4">
        <f t="shared" si="4"/>
        <v>1.2000000000000002</v>
      </c>
      <c r="O13" s="1">
        <f>H13*$Q$3</f>
        <v>1.32E-2</v>
      </c>
      <c r="P13" s="4">
        <v>1.71</v>
      </c>
      <c r="Q13" s="1">
        <f t="shared" si="5"/>
        <v>0.83</v>
      </c>
      <c r="R13" s="6">
        <f t="shared" si="6"/>
        <v>0.94318181818181812</v>
      </c>
      <c r="S13" s="2" t="s">
        <v>102</v>
      </c>
      <c r="T13" t="s">
        <v>85</v>
      </c>
    </row>
    <row r="14" spans="1:24" x14ac:dyDescent="0.25">
      <c r="A14" s="9">
        <v>43571</v>
      </c>
      <c r="B14" s="9" t="s">
        <v>23</v>
      </c>
      <c r="C14" s="37" t="s">
        <v>19</v>
      </c>
      <c r="D14" s="2" t="s">
        <v>18</v>
      </c>
      <c r="E14" s="18">
        <v>2</v>
      </c>
      <c r="F14" s="2" t="s">
        <v>22</v>
      </c>
      <c r="G14" s="2" t="s">
        <v>6</v>
      </c>
      <c r="H14" s="4">
        <v>2.29</v>
      </c>
      <c r="I14" s="4">
        <v>3.2</v>
      </c>
      <c r="J14" s="6">
        <f t="shared" si="0"/>
        <v>1.3973799126637556</v>
      </c>
      <c r="K14" s="4">
        <f t="shared" si="1"/>
        <v>0.91000000000000014</v>
      </c>
      <c r="L14" s="4">
        <f t="shared" si="2"/>
        <v>4.16</v>
      </c>
      <c r="M14" s="6">
        <f t="shared" si="3"/>
        <v>1.8165938864628821</v>
      </c>
      <c r="N14" s="4">
        <f t="shared" si="4"/>
        <v>1.87</v>
      </c>
      <c r="O14" s="1">
        <v>0</v>
      </c>
      <c r="P14" s="4">
        <v>3.42</v>
      </c>
      <c r="Q14" s="1">
        <f t="shared" si="5"/>
        <v>1.1299999999999999</v>
      </c>
      <c r="R14" s="6">
        <f t="shared" si="6"/>
        <v>0.49344978165938858</v>
      </c>
      <c r="S14" s="2" t="s">
        <v>102</v>
      </c>
      <c r="T14" t="s">
        <v>190</v>
      </c>
    </row>
    <row r="15" spans="1:24" x14ac:dyDescent="0.25">
      <c r="A15" s="9">
        <v>43571</v>
      </c>
      <c r="B15" s="9" t="s">
        <v>23</v>
      </c>
      <c r="C15" s="37" t="s">
        <v>96</v>
      </c>
      <c r="D15" s="2" t="s">
        <v>18</v>
      </c>
      <c r="E15" s="18">
        <v>1</v>
      </c>
      <c r="F15" s="2" t="s">
        <v>23</v>
      </c>
      <c r="G15" s="2" t="s">
        <v>6</v>
      </c>
      <c r="H15" s="4">
        <v>3.15</v>
      </c>
      <c r="I15" s="4">
        <v>2.2799999999999998</v>
      </c>
      <c r="J15" s="6">
        <f t="shared" si="0"/>
        <v>0.72380952380952379</v>
      </c>
      <c r="K15" s="4">
        <f t="shared" si="1"/>
        <v>-0.87000000000000011</v>
      </c>
      <c r="L15" s="4">
        <f t="shared" si="2"/>
        <v>2.964</v>
      </c>
      <c r="M15" s="6">
        <f t="shared" si="3"/>
        <v>0.94095238095238098</v>
      </c>
      <c r="N15" s="4">
        <f t="shared" si="4"/>
        <v>-0.18599999999999994</v>
      </c>
      <c r="O15" s="1">
        <v>0</v>
      </c>
      <c r="P15" s="4">
        <v>4.45</v>
      </c>
      <c r="Q15" s="1">
        <f t="shared" si="5"/>
        <v>1.3000000000000003</v>
      </c>
      <c r="R15" s="6">
        <f t="shared" si="6"/>
        <v>0.41269841269841279</v>
      </c>
      <c r="S15" s="2" t="s">
        <v>101</v>
      </c>
      <c r="T15" t="s">
        <v>190</v>
      </c>
    </row>
    <row r="16" spans="1:24" x14ac:dyDescent="0.25">
      <c r="A16" s="9">
        <v>43558</v>
      </c>
      <c r="B16" s="9" t="s">
        <v>23</v>
      </c>
      <c r="C16" s="37" t="s">
        <v>20</v>
      </c>
      <c r="D16" s="2" t="s">
        <v>18</v>
      </c>
      <c r="E16" s="18">
        <v>1</v>
      </c>
      <c r="F16" s="32" t="s">
        <v>23</v>
      </c>
      <c r="G16" s="2" t="s">
        <v>6</v>
      </c>
      <c r="H16" s="4">
        <v>1.32</v>
      </c>
      <c r="I16" s="4">
        <v>0.33</v>
      </c>
      <c r="J16" s="6">
        <f t="shared" si="0"/>
        <v>0.25</v>
      </c>
      <c r="K16" s="4">
        <f t="shared" si="1"/>
        <v>-0.99</v>
      </c>
      <c r="L16" s="4">
        <f t="shared" si="2"/>
        <v>0.42900000000000005</v>
      </c>
      <c r="M16" s="6">
        <f t="shared" si="3"/>
        <v>0.32500000000000001</v>
      </c>
      <c r="N16" s="4">
        <f t="shared" si="4"/>
        <v>-0.89100000000000001</v>
      </c>
      <c r="O16" s="1">
        <f t="shared" ref="O16:O27" si="7">H16*$Q$3</f>
        <v>1.9800000000000002E-2</v>
      </c>
      <c r="P16" s="4">
        <v>0.96</v>
      </c>
      <c r="Q16" s="1">
        <f t="shared" si="5"/>
        <v>-0.3600000000000001</v>
      </c>
      <c r="R16" s="6">
        <f t="shared" si="6"/>
        <v>-0.27272727272727282</v>
      </c>
      <c r="S16" s="2" t="s">
        <v>102</v>
      </c>
      <c r="T16" t="s">
        <v>107</v>
      </c>
    </row>
    <row r="17" spans="1:20" x14ac:dyDescent="0.25">
      <c r="A17" s="9">
        <v>43560</v>
      </c>
      <c r="B17" s="9" t="s">
        <v>23</v>
      </c>
      <c r="C17" s="37" t="s">
        <v>74</v>
      </c>
      <c r="D17" s="2" t="s">
        <v>50</v>
      </c>
      <c r="E17" s="18">
        <v>1</v>
      </c>
      <c r="F17" s="2" t="s">
        <v>22</v>
      </c>
      <c r="G17" s="2" t="s">
        <v>34</v>
      </c>
      <c r="H17" s="4">
        <v>6.04</v>
      </c>
      <c r="I17" s="4">
        <v>4.4000000000000004</v>
      </c>
      <c r="J17" s="6">
        <f t="shared" si="0"/>
        <v>0.72847682119205304</v>
      </c>
      <c r="K17" s="4">
        <f t="shared" si="1"/>
        <v>-1.6399999999999997</v>
      </c>
      <c r="L17" s="4">
        <f t="shared" si="2"/>
        <v>5.7200000000000006</v>
      </c>
      <c r="M17" s="6">
        <f t="shared" si="3"/>
        <v>0.94701986754966894</v>
      </c>
      <c r="N17" s="4">
        <f t="shared" si="4"/>
        <v>-0.3199999999999994</v>
      </c>
      <c r="O17" s="1">
        <f t="shared" si="7"/>
        <v>9.06E-2</v>
      </c>
      <c r="P17" s="4">
        <v>4.4000000000000004</v>
      </c>
      <c r="Q17" s="1">
        <f t="shared" ref="Q17:Q20" si="8">P17-H17</f>
        <v>-1.6399999999999997</v>
      </c>
      <c r="R17" s="6">
        <f t="shared" ref="R17:R20" si="9">(P17/H17)-1</f>
        <v>-0.27152317880794696</v>
      </c>
      <c r="S17" s="2" t="s">
        <v>98</v>
      </c>
      <c r="T17" t="s">
        <v>188</v>
      </c>
    </row>
    <row r="18" spans="1:20" x14ac:dyDescent="0.25">
      <c r="A18" s="9">
        <v>43560</v>
      </c>
      <c r="B18" s="9" t="s">
        <v>23</v>
      </c>
      <c r="C18" s="37" t="s">
        <v>51</v>
      </c>
      <c r="D18" s="2" t="s">
        <v>52</v>
      </c>
      <c r="E18" s="18">
        <v>1</v>
      </c>
      <c r="F18" s="2" t="s">
        <v>22</v>
      </c>
      <c r="G18" s="2" t="s">
        <v>34</v>
      </c>
      <c r="H18" s="4">
        <v>2.84</v>
      </c>
      <c r="I18" s="4">
        <v>3.2</v>
      </c>
      <c r="J18" s="6">
        <f t="shared" si="0"/>
        <v>1.1267605633802817</v>
      </c>
      <c r="K18" s="4">
        <f t="shared" si="1"/>
        <v>0.36000000000000032</v>
      </c>
      <c r="L18" s="4">
        <f t="shared" si="2"/>
        <v>4.16</v>
      </c>
      <c r="M18" s="6">
        <f t="shared" si="3"/>
        <v>1.4647887323943662</v>
      </c>
      <c r="N18" s="4">
        <f t="shared" si="4"/>
        <v>1.3200000000000003</v>
      </c>
      <c r="O18" s="1">
        <f t="shared" si="7"/>
        <v>4.2599999999999999E-2</v>
      </c>
      <c r="P18" s="4">
        <v>2.4</v>
      </c>
      <c r="Q18" s="1">
        <f t="shared" si="8"/>
        <v>-0.43999999999999995</v>
      </c>
      <c r="R18" s="6">
        <f t="shared" si="9"/>
        <v>-0.15492957746478875</v>
      </c>
      <c r="S18" s="2" t="s">
        <v>101</v>
      </c>
      <c r="T18" t="s">
        <v>188</v>
      </c>
    </row>
    <row r="19" spans="1:20" x14ac:dyDescent="0.25">
      <c r="A19" s="9">
        <v>43560</v>
      </c>
      <c r="B19" s="9" t="s">
        <v>23</v>
      </c>
      <c r="C19" s="37" t="s">
        <v>53</v>
      </c>
      <c r="D19" s="2" t="s">
        <v>52</v>
      </c>
      <c r="E19" s="18">
        <v>1</v>
      </c>
      <c r="F19" s="2" t="s">
        <v>22</v>
      </c>
      <c r="G19" s="2" t="s">
        <v>6</v>
      </c>
      <c r="H19" s="4">
        <v>2.4300000000000002</v>
      </c>
      <c r="I19" s="4">
        <v>1.3</v>
      </c>
      <c r="J19" s="6">
        <f t="shared" si="0"/>
        <v>0.53497942386831276</v>
      </c>
      <c r="K19" s="4">
        <f t="shared" si="1"/>
        <v>-1.1300000000000001</v>
      </c>
      <c r="L19" s="4">
        <f t="shared" si="2"/>
        <v>1.6900000000000002</v>
      </c>
      <c r="M19" s="6">
        <f t="shared" si="3"/>
        <v>0.69547325102880664</v>
      </c>
      <c r="N19" s="4">
        <f t="shared" si="4"/>
        <v>-0.74</v>
      </c>
      <c r="O19" s="1">
        <f t="shared" si="7"/>
        <v>3.6450000000000003E-2</v>
      </c>
      <c r="P19" s="4">
        <v>0.9</v>
      </c>
      <c r="Q19" s="1">
        <f t="shared" si="8"/>
        <v>-1.5300000000000002</v>
      </c>
      <c r="R19" s="6">
        <f t="shared" si="9"/>
        <v>-0.62962962962962965</v>
      </c>
      <c r="S19" s="2" t="s">
        <v>101</v>
      </c>
      <c r="T19" t="s">
        <v>173</v>
      </c>
    </row>
    <row r="20" spans="1:20" x14ac:dyDescent="0.25">
      <c r="A20" s="9">
        <v>43560</v>
      </c>
      <c r="B20" s="9" t="s">
        <v>23</v>
      </c>
      <c r="C20" s="37" t="s">
        <v>54</v>
      </c>
      <c r="D20" s="2" t="s">
        <v>55</v>
      </c>
      <c r="E20" s="18">
        <v>1</v>
      </c>
      <c r="F20" s="2" t="s">
        <v>22</v>
      </c>
      <c r="G20" s="2" t="s">
        <v>34</v>
      </c>
      <c r="H20" s="4">
        <v>1.89</v>
      </c>
      <c r="I20" s="4">
        <v>1.1200000000000001</v>
      </c>
      <c r="J20" s="6">
        <f t="shared" si="0"/>
        <v>0.59259259259259267</v>
      </c>
      <c r="K20" s="4">
        <f t="shared" si="1"/>
        <v>-0.7699999999999998</v>
      </c>
      <c r="L20" s="4">
        <f t="shared" si="2"/>
        <v>1.4560000000000002</v>
      </c>
      <c r="M20" s="6">
        <f t="shared" si="3"/>
        <v>0.77037037037037048</v>
      </c>
      <c r="N20" s="4">
        <f t="shared" si="4"/>
        <v>-0.43399999999999972</v>
      </c>
      <c r="O20" s="1">
        <f t="shared" si="7"/>
        <v>2.8349999999999997E-2</v>
      </c>
      <c r="P20" s="4">
        <v>1.04</v>
      </c>
      <c r="Q20" s="1">
        <f t="shared" si="8"/>
        <v>-0.84999999999999987</v>
      </c>
      <c r="R20" s="6">
        <f t="shared" si="9"/>
        <v>-0.44973544973544965</v>
      </c>
      <c r="S20" s="2" t="s">
        <v>101</v>
      </c>
      <c r="T20" t="s">
        <v>172</v>
      </c>
    </row>
    <row r="21" spans="1:20" x14ac:dyDescent="0.25">
      <c r="A21" s="9">
        <v>43560</v>
      </c>
      <c r="B21" s="9" t="s">
        <v>23</v>
      </c>
      <c r="C21" s="37" t="s">
        <v>56</v>
      </c>
      <c r="D21" s="2" t="s">
        <v>94</v>
      </c>
      <c r="E21" s="18">
        <v>1</v>
      </c>
      <c r="F21" s="2" t="s">
        <v>22</v>
      </c>
      <c r="G21" s="2" t="s">
        <v>34</v>
      </c>
      <c r="H21" s="4">
        <v>2.08</v>
      </c>
      <c r="I21" s="4">
        <v>1.76</v>
      </c>
      <c r="J21" s="6">
        <f t="shared" si="0"/>
        <v>0.84615384615384615</v>
      </c>
      <c r="K21" s="4">
        <f t="shared" si="1"/>
        <v>-0.32000000000000006</v>
      </c>
      <c r="L21" s="4">
        <f t="shared" si="2"/>
        <v>2.2880000000000003</v>
      </c>
      <c r="M21" s="6">
        <f t="shared" si="3"/>
        <v>1.1000000000000001</v>
      </c>
      <c r="N21" s="4">
        <f t="shared" si="4"/>
        <v>0.20800000000000018</v>
      </c>
      <c r="O21" s="1">
        <f t="shared" si="7"/>
        <v>3.1199999999999999E-2</v>
      </c>
      <c r="P21" s="4">
        <v>2.46</v>
      </c>
      <c r="Q21" s="1">
        <f t="shared" ref="Q21:Q33" si="10">P21-H21</f>
        <v>0.37999999999999989</v>
      </c>
      <c r="R21" s="6">
        <f t="shared" ref="R21:R33" si="11">(P21/H21)-1</f>
        <v>0.18269230769230771</v>
      </c>
      <c r="S21" s="2" t="s">
        <v>102</v>
      </c>
      <c r="T21" t="s">
        <v>192</v>
      </c>
    </row>
    <row r="22" spans="1:20" x14ac:dyDescent="0.25">
      <c r="A22" s="9">
        <v>43560</v>
      </c>
      <c r="B22" s="9" t="s">
        <v>23</v>
      </c>
      <c r="C22" s="37" t="s">
        <v>57</v>
      </c>
      <c r="D22" s="2" t="s">
        <v>58</v>
      </c>
      <c r="E22" s="18">
        <v>1</v>
      </c>
      <c r="F22" s="2" t="s">
        <v>22</v>
      </c>
      <c r="G22" s="2" t="s">
        <v>34</v>
      </c>
      <c r="H22" s="4">
        <v>5.07</v>
      </c>
      <c r="I22" s="4">
        <v>3.2</v>
      </c>
      <c r="J22" s="6">
        <f t="shared" si="0"/>
        <v>0.63116370808678501</v>
      </c>
      <c r="K22" s="4">
        <f t="shared" si="1"/>
        <v>-1.87</v>
      </c>
      <c r="L22" s="4">
        <f t="shared" si="2"/>
        <v>4.16</v>
      </c>
      <c r="M22" s="6">
        <f t="shared" si="3"/>
        <v>0.82051282051282048</v>
      </c>
      <c r="N22" s="4">
        <f t="shared" si="4"/>
        <v>-0.91000000000000014</v>
      </c>
      <c r="O22" s="1">
        <f t="shared" si="7"/>
        <v>7.6050000000000006E-2</v>
      </c>
      <c r="P22" s="4">
        <v>5.0999999999999996</v>
      </c>
      <c r="Q22" s="1">
        <f t="shared" si="10"/>
        <v>2.9999999999999361E-2</v>
      </c>
      <c r="R22" s="6">
        <f t="shared" si="11"/>
        <v>5.9171597633134176E-3</v>
      </c>
      <c r="S22" s="2" t="s">
        <v>101</v>
      </c>
      <c r="T22" t="s">
        <v>189</v>
      </c>
    </row>
    <row r="23" spans="1:20" x14ac:dyDescent="0.25">
      <c r="A23" s="9">
        <v>43560</v>
      </c>
      <c r="B23" s="9" t="s">
        <v>23</v>
      </c>
      <c r="C23" s="37" t="s">
        <v>59</v>
      </c>
      <c r="D23" s="2" t="s">
        <v>60</v>
      </c>
      <c r="E23" s="18">
        <v>1</v>
      </c>
      <c r="F23" s="2" t="s">
        <v>22</v>
      </c>
      <c r="G23" s="2" t="s">
        <v>34</v>
      </c>
      <c r="H23" s="4">
        <v>3.37</v>
      </c>
      <c r="I23" s="4">
        <v>3.2</v>
      </c>
      <c r="J23" s="6">
        <f t="shared" si="0"/>
        <v>0.94955489614243327</v>
      </c>
      <c r="K23" s="4">
        <f t="shared" si="1"/>
        <v>-0.16999999999999993</v>
      </c>
      <c r="L23" s="4">
        <f t="shared" si="2"/>
        <v>4.16</v>
      </c>
      <c r="M23" s="6">
        <f t="shared" si="3"/>
        <v>1.2344213649851632</v>
      </c>
      <c r="N23" s="4">
        <f t="shared" si="4"/>
        <v>0.79</v>
      </c>
      <c r="O23" s="1">
        <f t="shared" si="7"/>
        <v>5.0549999999999998E-2</v>
      </c>
      <c r="P23" s="4">
        <v>3.96</v>
      </c>
      <c r="Q23" s="1">
        <f t="shared" si="10"/>
        <v>0.58999999999999986</v>
      </c>
      <c r="R23" s="6">
        <f t="shared" si="11"/>
        <v>0.17507418397626107</v>
      </c>
      <c r="S23" s="2" t="s">
        <v>98</v>
      </c>
      <c r="T23" t="s">
        <v>138</v>
      </c>
    </row>
    <row r="24" spans="1:20" x14ac:dyDescent="0.25">
      <c r="A24" s="9">
        <v>43560</v>
      </c>
      <c r="B24" s="9" t="s">
        <v>23</v>
      </c>
      <c r="C24" s="54" t="s">
        <v>63</v>
      </c>
      <c r="D24" s="2" t="s">
        <v>64</v>
      </c>
      <c r="E24" s="18">
        <v>5</v>
      </c>
      <c r="F24" s="2" t="s">
        <v>22</v>
      </c>
      <c r="G24" s="2" t="s">
        <v>6</v>
      </c>
      <c r="H24" s="4">
        <f>4.4*E24</f>
        <v>22</v>
      </c>
      <c r="I24" s="4">
        <f>4*E24</f>
        <v>20</v>
      </c>
      <c r="J24" s="6">
        <f t="shared" si="0"/>
        <v>0.90909090909090906</v>
      </c>
      <c r="K24" s="4">
        <f t="shared" si="1"/>
        <v>-2</v>
      </c>
      <c r="L24" s="4">
        <f t="shared" si="2"/>
        <v>26</v>
      </c>
      <c r="M24" s="6">
        <f t="shared" si="3"/>
        <v>1.1818181818181819</v>
      </c>
      <c r="N24" s="4">
        <f t="shared" si="4"/>
        <v>4</v>
      </c>
      <c r="O24" s="1">
        <f t="shared" si="7"/>
        <v>0.32999999999999996</v>
      </c>
      <c r="P24" s="4">
        <v>24.65</v>
      </c>
      <c r="Q24" s="1">
        <f t="shared" si="10"/>
        <v>2.6499999999999986</v>
      </c>
      <c r="R24" s="6">
        <f t="shared" si="11"/>
        <v>0.12045454545454537</v>
      </c>
      <c r="S24" s="2" t="s">
        <v>98</v>
      </c>
      <c r="T24" t="s">
        <v>168</v>
      </c>
    </row>
    <row r="25" spans="1:20" x14ac:dyDescent="0.25">
      <c r="A25" s="9">
        <v>43560</v>
      </c>
      <c r="B25" s="9" t="s">
        <v>23</v>
      </c>
      <c r="C25" s="37" t="s">
        <v>65</v>
      </c>
      <c r="D25" s="2" t="s">
        <v>66</v>
      </c>
      <c r="E25" s="18">
        <v>2</v>
      </c>
      <c r="F25" s="2" t="s">
        <v>22</v>
      </c>
      <c r="G25" s="2" t="s">
        <v>6</v>
      </c>
      <c r="H25" s="4">
        <f>5.07*E25</f>
        <v>10.14</v>
      </c>
      <c r="I25" s="4">
        <v>10</v>
      </c>
      <c r="J25" s="6">
        <f t="shared" si="0"/>
        <v>0.98619329388560151</v>
      </c>
      <c r="K25" s="4">
        <f t="shared" si="1"/>
        <v>-0.14000000000000057</v>
      </c>
      <c r="L25" s="4">
        <f t="shared" si="2"/>
        <v>13</v>
      </c>
      <c r="M25" s="6">
        <f t="shared" si="3"/>
        <v>1.2820512820512819</v>
      </c>
      <c r="N25" s="4">
        <f t="shared" si="4"/>
        <v>2.8599999999999994</v>
      </c>
      <c r="O25" s="1">
        <f t="shared" si="7"/>
        <v>0.15210000000000001</v>
      </c>
      <c r="P25" s="4">
        <v>11.28</v>
      </c>
      <c r="Q25" s="1">
        <f t="shared" si="10"/>
        <v>1.1399999999999988</v>
      </c>
      <c r="R25" s="6">
        <f t="shared" si="11"/>
        <v>0.11242603550295849</v>
      </c>
      <c r="S25" s="2" t="s">
        <v>101</v>
      </c>
      <c r="T25" t="s">
        <v>113</v>
      </c>
    </row>
    <row r="26" spans="1:20" x14ac:dyDescent="0.25">
      <c r="A26" s="9">
        <v>43560</v>
      </c>
      <c r="B26" s="9" t="s">
        <v>23</v>
      </c>
      <c r="C26" s="37" t="s">
        <v>67</v>
      </c>
      <c r="D26" s="2" t="s">
        <v>68</v>
      </c>
      <c r="E26" s="18">
        <v>1</v>
      </c>
      <c r="F26" s="32" t="s">
        <v>23</v>
      </c>
      <c r="G26" s="2" t="s">
        <v>6</v>
      </c>
      <c r="H26" s="4">
        <v>4.2</v>
      </c>
      <c r="I26" s="4">
        <v>3.5</v>
      </c>
      <c r="J26" s="6">
        <f t="shared" si="0"/>
        <v>0.83333333333333326</v>
      </c>
      <c r="K26" s="4">
        <f t="shared" si="1"/>
        <v>-0.70000000000000018</v>
      </c>
      <c r="L26" s="4">
        <f t="shared" si="2"/>
        <v>4.55</v>
      </c>
      <c r="M26" s="6">
        <f t="shared" si="3"/>
        <v>1.0833333333333333</v>
      </c>
      <c r="N26" s="4">
        <f t="shared" si="4"/>
        <v>0.34999999999999964</v>
      </c>
      <c r="O26" s="1">
        <f t="shared" si="7"/>
        <v>6.3E-2</v>
      </c>
      <c r="P26" s="4">
        <v>2.9</v>
      </c>
      <c r="Q26" s="1">
        <f t="shared" si="10"/>
        <v>-1.3000000000000003</v>
      </c>
      <c r="R26" s="6">
        <f t="shared" si="11"/>
        <v>-0.30952380952380953</v>
      </c>
      <c r="S26" s="2" t="s">
        <v>101</v>
      </c>
      <c r="T26" t="s">
        <v>188</v>
      </c>
    </row>
    <row r="27" spans="1:20" x14ac:dyDescent="0.25">
      <c r="A27" s="9">
        <v>43560</v>
      </c>
      <c r="B27" s="9" t="s">
        <v>23</v>
      </c>
      <c r="C27" s="37" t="s">
        <v>69</v>
      </c>
      <c r="D27" s="2" t="s">
        <v>70</v>
      </c>
      <c r="E27" s="18">
        <v>1</v>
      </c>
      <c r="F27" s="2" t="s">
        <v>22</v>
      </c>
      <c r="G27" s="2" t="s">
        <v>6</v>
      </c>
      <c r="H27" s="4">
        <v>1.94</v>
      </c>
      <c r="I27" s="4">
        <v>2.25</v>
      </c>
      <c r="J27" s="6">
        <f t="shared" si="0"/>
        <v>1.1597938144329898</v>
      </c>
      <c r="K27" s="4">
        <f t="shared" si="1"/>
        <v>0.31000000000000005</v>
      </c>
      <c r="L27" s="4">
        <f t="shared" si="2"/>
        <v>2.9250000000000003</v>
      </c>
      <c r="M27" s="6">
        <f t="shared" si="3"/>
        <v>1.5077319587628868</v>
      </c>
      <c r="N27" s="4">
        <f t="shared" si="4"/>
        <v>0.98500000000000032</v>
      </c>
      <c r="O27" s="1">
        <f t="shared" si="7"/>
        <v>2.9099999999999997E-2</v>
      </c>
      <c r="P27" s="4">
        <v>2.21</v>
      </c>
      <c r="Q27" s="1">
        <f t="shared" si="10"/>
        <v>0.27</v>
      </c>
      <c r="R27" s="6">
        <f t="shared" si="11"/>
        <v>0.13917525773195871</v>
      </c>
      <c r="S27" s="2" t="s">
        <v>102</v>
      </c>
      <c r="T27" t="s">
        <v>190</v>
      </c>
    </row>
    <row r="28" spans="1:20" x14ac:dyDescent="0.25">
      <c r="A28" s="9">
        <v>43571</v>
      </c>
      <c r="B28" s="9" t="s">
        <v>23</v>
      </c>
      <c r="C28" s="37" t="s">
        <v>95</v>
      </c>
      <c r="D28" s="2" t="s">
        <v>70</v>
      </c>
      <c r="E28" s="18">
        <v>1</v>
      </c>
      <c r="F28" s="2" t="s">
        <v>22</v>
      </c>
      <c r="G28" s="2" t="s">
        <v>6</v>
      </c>
      <c r="H28" s="4">
        <v>2.15</v>
      </c>
      <c r="I28" s="4">
        <v>2.25</v>
      </c>
      <c r="J28" s="6">
        <f t="shared" si="0"/>
        <v>1.0465116279069768</v>
      </c>
      <c r="K28" s="4">
        <f t="shared" si="1"/>
        <v>0.10000000000000009</v>
      </c>
      <c r="L28" s="4">
        <f t="shared" si="2"/>
        <v>2.9250000000000003</v>
      </c>
      <c r="M28" s="6">
        <f t="shared" si="3"/>
        <v>1.36046511627907</v>
      </c>
      <c r="N28" s="4">
        <f t="shared" si="4"/>
        <v>0.77500000000000036</v>
      </c>
      <c r="O28" s="1">
        <v>0</v>
      </c>
      <c r="P28" s="4">
        <v>1.95</v>
      </c>
      <c r="Q28" s="1">
        <f t="shared" si="10"/>
        <v>-0.19999999999999996</v>
      </c>
      <c r="R28" s="6">
        <f t="shared" si="11"/>
        <v>-9.3023255813953432E-2</v>
      </c>
      <c r="S28" s="2" t="s">
        <v>102</v>
      </c>
      <c r="T28" t="s">
        <v>191</v>
      </c>
    </row>
    <row r="29" spans="1:20" x14ac:dyDescent="0.25">
      <c r="A29" s="9">
        <v>43560</v>
      </c>
      <c r="B29" s="9" t="s">
        <v>23</v>
      </c>
      <c r="C29" s="37" t="s">
        <v>71</v>
      </c>
      <c r="D29" s="2" t="s">
        <v>72</v>
      </c>
      <c r="E29" s="18">
        <v>1</v>
      </c>
      <c r="F29" s="2" t="s">
        <v>22</v>
      </c>
      <c r="G29" s="2" t="s">
        <v>6</v>
      </c>
      <c r="H29" s="4">
        <v>2.86</v>
      </c>
      <c r="I29" s="4">
        <v>2.5</v>
      </c>
      <c r="J29" s="6">
        <f t="shared" si="0"/>
        <v>0.87412587412587417</v>
      </c>
      <c r="K29" s="4">
        <f t="shared" si="1"/>
        <v>-0.35999999999999988</v>
      </c>
      <c r="L29" s="4">
        <f t="shared" si="2"/>
        <v>3.25</v>
      </c>
      <c r="M29" s="6">
        <f t="shared" si="3"/>
        <v>1.1363636363636365</v>
      </c>
      <c r="N29" s="4">
        <f t="shared" si="4"/>
        <v>0.39000000000000012</v>
      </c>
      <c r="O29" s="1">
        <f t="shared" ref="O29:O41" si="12">H29*$Q$3</f>
        <v>4.2899999999999994E-2</v>
      </c>
      <c r="P29" s="4">
        <v>1.7</v>
      </c>
      <c r="Q29" s="1">
        <f t="shared" si="10"/>
        <v>-1.1599999999999999</v>
      </c>
      <c r="R29" s="6">
        <f t="shared" si="11"/>
        <v>-0.40559440559440563</v>
      </c>
      <c r="S29" s="2" t="s">
        <v>102</v>
      </c>
      <c r="T29" t="s">
        <v>188</v>
      </c>
    </row>
    <row r="30" spans="1:20" x14ac:dyDescent="0.25">
      <c r="A30" s="9">
        <v>43563</v>
      </c>
      <c r="B30" s="9" t="s">
        <v>23</v>
      </c>
      <c r="C30" s="37" t="s">
        <v>88</v>
      </c>
      <c r="D30" s="2" t="s">
        <v>55</v>
      </c>
      <c r="E30" s="18">
        <v>3</v>
      </c>
      <c r="F30" s="2" t="s">
        <v>22</v>
      </c>
      <c r="G30" s="2" t="s">
        <v>6</v>
      </c>
      <c r="H30" s="4">
        <v>51.3</v>
      </c>
      <c r="I30" s="4">
        <v>54</v>
      </c>
      <c r="J30" s="6">
        <f t="shared" ref="J30:J31" si="13">I30/H30</f>
        <v>1.0526315789473686</v>
      </c>
      <c r="K30" s="4">
        <f t="shared" ref="K30:K31" si="14">SUM(I30-H30)</f>
        <v>2.7000000000000028</v>
      </c>
      <c r="L30" s="4">
        <f t="shared" si="2"/>
        <v>70.2</v>
      </c>
      <c r="M30" s="6">
        <f t="shared" ref="M30:M31" si="15">L30/H30</f>
        <v>1.368421052631579</v>
      </c>
      <c r="N30" s="4">
        <f t="shared" ref="N30:N31" si="16">L30-H30</f>
        <v>18.900000000000006</v>
      </c>
      <c r="O30" s="1">
        <f t="shared" si="12"/>
        <v>0.76949999999999996</v>
      </c>
      <c r="P30" s="4">
        <v>67.13</v>
      </c>
      <c r="Q30" s="1">
        <f t="shared" si="10"/>
        <v>15.829999999999998</v>
      </c>
      <c r="R30" s="6">
        <f t="shared" si="11"/>
        <v>0.30857699805068228</v>
      </c>
      <c r="S30" s="2" t="s">
        <v>102</v>
      </c>
      <c r="T30" t="s">
        <v>91</v>
      </c>
    </row>
    <row r="31" spans="1:20" x14ac:dyDescent="0.25">
      <c r="A31" s="9">
        <v>43563</v>
      </c>
      <c r="B31" s="9" t="s">
        <v>23</v>
      </c>
      <c r="C31" s="37" t="s">
        <v>89</v>
      </c>
      <c r="D31" s="2" t="s">
        <v>90</v>
      </c>
      <c r="E31" s="18">
        <v>4</v>
      </c>
      <c r="F31" s="2" t="s">
        <v>22</v>
      </c>
      <c r="G31" s="2" t="s">
        <v>6</v>
      </c>
      <c r="H31" s="4">
        <v>20.36</v>
      </c>
      <c r="I31" s="4">
        <v>22</v>
      </c>
      <c r="J31" s="6">
        <f t="shared" si="13"/>
        <v>1.0805500982318272</v>
      </c>
      <c r="K31" s="4">
        <f t="shared" si="14"/>
        <v>1.6400000000000006</v>
      </c>
      <c r="L31" s="4">
        <f t="shared" si="2"/>
        <v>28.6</v>
      </c>
      <c r="M31" s="6">
        <f t="shared" si="15"/>
        <v>1.4047151277013754</v>
      </c>
      <c r="N31" s="4">
        <f t="shared" si="16"/>
        <v>8.240000000000002</v>
      </c>
      <c r="O31" s="1">
        <f t="shared" si="12"/>
        <v>0.3054</v>
      </c>
      <c r="P31" s="4">
        <v>25.42</v>
      </c>
      <c r="Q31" s="1">
        <f t="shared" si="10"/>
        <v>5.0600000000000023</v>
      </c>
      <c r="R31" s="6">
        <f t="shared" si="11"/>
        <v>0.24852652259332042</v>
      </c>
      <c r="S31" s="2" t="s">
        <v>102</v>
      </c>
      <c r="T31" t="s">
        <v>91</v>
      </c>
    </row>
    <row r="32" spans="1:20" x14ac:dyDescent="0.25">
      <c r="A32" s="9">
        <v>43566</v>
      </c>
      <c r="B32" s="9" t="s">
        <v>23</v>
      </c>
      <c r="C32" s="37" t="s">
        <v>93</v>
      </c>
      <c r="D32" s="2" t="s">
        <v>18</v>
      </c>
      <c r="E32" s="18">
        <v>3</v>
      </c>
      <c r="F32" s="2" t="s">
        <v>22</v>
      </c>
      <c r="G32" s="2" t="s">
        <v>6</v>
      </c>
      <c r="H32" s="4">
        <v>9.99</v>
      </c>
      <c r="I32" s="4">
        <v>6.75</v>
      </c>
      <c r="J32" s="6">
        <f t="shared" ref="J32" si="17">I32/H32</f>
        <v>0.67567567567567566</v>
      </c>
      <c r="K32" s="4">
        <f t="shared" ref="K32" si="18">SUM(I32-H32)</f>
        <v>-3.24</v>
      </c>
      <c r="L32" s="4">
        <f t="shared" si="2"/>
        <v>8.7750000000000004</v>
      </c>
      <c r="M32" s="6">
        <f t="shared" ref="M32" si="19">L32/H32</f>
        <v>0.8783783783783784</v>
      </c>
      <c r="N32" s="4">
        <f t="shared" ref="N32" si="20">L32-H32</f>
        <v>-1.2149999999999999</v>
      </c>
      <c r="O32" s="1">
        <f t="shared" si="12"/>
        <v>0.14985000000000001</v>
      </c>
      <c r="P32" s="4">
        <v>7.5</v>
      </c>
      <c r="Q32" s="1">
        <f t="shared" si="10"/>
        <v>-2.4900000000000002</v>
      </c>
      <c r="R32" s="6">
        <f t="shared" si="11"/>
        <v>-0.24924924924924929</v>
      </c>
      <c r="S32" s="2" t="s">
        <v>102</v>
      </c>
      <c r="T32" t="s">
        <v>171</v>
      </c>
    </row>
    <row r="33" spans="1:23" x14ac:dyDescent="0.25">
      <c r="A33" s="9">
        <v>43558</v>
      </c>
      <c r="B33" s="9" t="s">
        <v>22</v>
      </c>
      <c r="C33" s="37" t="s">
        <v>17</v>
      </c>
      <c r="D33" s="2" t="s">
        <v>18</v>
      </c>
      <c r="E33" s="18">
        <v>1</v>
      </c>
      <c r="F33" s="2" t="s">
        <v>22</v>
      </c>
      <c r="G33" s="2" t="s">
        <v>6</v>
      </c>
      <c r="H33" s="4">
        <v>1.07</v>
      </c>
      <c r="I33" s="4">
        <v>0.2</v>
      </c>
      <c r="J33" s="6">
        <f t="shared" si="0"/>
        <v>0.18691588785046728</v>
      </c>
      <c r="K33" s="4">
        <f t="shared" si="1"/>
        <v>-0.87000000000000011</v>
      </c>
      <c r="L33" s="4">
        <f t="shared" si="2"/>
        <v>0.26</v>
      </c>
      <c r="M33" s="6">
        <f t="shared" si="3"/>
        <v>0.24299065420560748</v>
      </c>
      <c r="N33" s="4">
        <f t="shared" si="4"/>
        <v>-0.81</v>
      </c>
      <c r="O33" s="1">
        <f t="shared" si="12"/>
        <v>1.6050000000000002E-2</v>
      </c>
      <c r="P33" s="4">
        <v>0.47</v>
      </c>
      <c r="Q33" s="1">
        <f t="shared" si="10"/>
        <v>-0.60000000000000009</v>
      </c>
      <c r="R33" s="6">
        <f t="shared" si="11"/>
        <v>-0.56074766355140193</v>
      </c>
      <c r="S33" s="2" t="s">
        <v>102</v>
      </c>
      <c r="T33" t="s">
        <v>193</v>
      </c>
    </row>
    <row r="34" spans="1:23" x14ac:dyDescent="0.25">
      <c r="A34" s="9">
        <v>43566</v>
      </c>
      <c r="B34" s="9" t="s">
        <v>22</v>
      </c>
      <c r="C34" s="16" t="s">
        <v>93</v>
      </c>
      <c r="D34" s="2" t="s">
        <v>18</v>
      </c>
      <c r="E34" s="18">
        <v>1</v>
      </c>
      <c r="F34" s="2" t="s">
        <v>22</v>
      </c>
      <c r="G34" s="2" t="s">
        <v>6</v>
      </c>
      <c r="H34" s="4">
        <v>3.33</v>
      </c>
      <c r="I34" s="4">
        <v>2.25</v>
      </c>
      <c r="J34" s="6">
        <f>I34/H34</f>
        <v>0.67567567567567566</v>
      </c>
      <c r="K34" s="4">
        <f>SUM(I34-H34)</f>
        <v>-1.08</v>
      </c>
      <c r="L34" s="4">
        <f>I34*(1+$Q$2)</f>
        <v>2.9250000000000003</v>
      </c>
      <c r="M34" s="6">
        <f>L34/H34</f>
        <v>0.8783783783783784</v>
      </c>
      <c r="N34" s="4">
        <f>L34-H34</f>
        <v>-0.4049999999999998</v>
      </c>
      <c r="O34" s="1">
        <f>H34*$Q$3</f>
        <v>4.9950000000000001E-2</v>
      </c>
      <c r="P34" s="4"/>
      <c r="Q34" s="1"/>
      <c r="R34" s="6"/>
      <c r="S34" s="2" t="s">
        <v>102</v>
      </c>
      <c r="T34" t="s">
        <v>196</v>
      </c>
    </row>
    <row r="35" spans="1:23" x14ac:dyDescent="0.25">
      <c r="A35" s="9">
        <v>43558</v>
      </c>
      <c r="B35" s="9" t="s">
        <v>23</v>
      </c>
      <c r="C35" s="16" t="s">
        <v>31</v>
      </c>
      <c r="D35" s="2" t="s">
        <v>32</v>
      </c>
      <c r="E35" s="18">
        <v>1</v>
      </c>
      <c r="F35" s="2" t="s">
        <v>22</v>
      </c>
      <c r="G35" s="2" t="s">
        <v>34</v>
      </c>
      <c r="H35" s="4">
        <v>0.79</v>
      </c>
      <c r="I35" s="4">
        <v>0.64</v>
      </c>
      <c r="J35" s="6">
        <f>I35/H35</f>
        <v>0.810126582278481</v>
      </c>
      <c r="K35" s="4">
        <f>SUM(I35-H35)</f>
        <v>-0.15000000000000002</v>
      </c>
      <c r="L35" s="4">
        <f>I35*(1+$Q$2)</f>
        <v>0.83200000000000007</v>
      </c>
      <c r="M35" s="6">
        <f>L35/H35</f>
        <v>1.0531645569620254</v>
      </c>
      <c r="N35" s="4">
        <f>L35-H35</f>
        <v>4.2000000000000037E-2</v>
      </c>
      <c r="O35" s="1">
        <f>H35*$Q$3</f>
        <v>1.1849999999999999E-2</v>
      </c>
      <c r="P35" s="4"/>
      <c r="Q35" s="1"/>
      <c r="R35" s="6"/>
      <c r="S35" s="2" t="s">
        <v>101</v>
      </c>
      <c r="T35" t="s">
        <v>194</v>
      </c>
    </row>
    <row r="36" spans="1:23" x14ac:dyDescent="0.25">
      <c r="A36" s="9">
        <v>43558</v>
      </c>
      <c r="B36" s="9" t="s">
        <v>22</v>
      </c>
      <c r="C36" s="16" t="s">
        <v>28</v>
      </c>
      <c r="D36" s="2" t="s">
        <v>29</v>
      </c>
      <c r="E36" s="18">
        <v>1</v>
      </c>
      <c r="F36" s="2" t="s">
        <v>22</v>
      </c>
      <c r="G36" s="2" t="s">
        <v>34</v>
      </c>
      <c r="H36" s="4">
        <v>1.2</v>
      </c>
      <c r="I36" s="4">
        <v>0.48</v>
      </c>
      <c r="J36" s="6">
        <f t="shared" si="0"/>
        <v>0.4</v>
      </c>
      <c r="K36" s="4">
        <f t="shared" si="1"/>
        <v>-0.72</v>
      </c>
      <c r="L36" s="4">
        <f t="shared" si="2"/>
        <v>0.624</v>
      </c>
      <c r="M36" s="6">
        <f t="shared" si="3"/>
        <v>0.52</v>
      </c>
      <c r="N36" s="4">
        <f t="shared" si="4"/>
        <v>-0.57599999999999996</v>
      </c>
      <c r="O36" s="1">
        <f t="shared" si="12"/>
        <v>1.7999999999999999E-2</v>
      </c>
      <c r="P36" s="4"/>
      <c r="R36" s="2"/>
      <c r="S36" s="2" t="s">
        <v>98</v>
      </c>
      <c r="T36" t="s">
        <v>195</v>
      </c>
    </row>
    <row r="37" spans="1:23" x14ac:dyDescent="0.25">
      <c r="A37" s="9">
        <v>43558</v>
      </c>
      <c r="B37" s="9" t="s">
        <v>22</v>
      </c>
      <c r="C37" s="16" t="s">
        <v>73</v>
      </c>
      <c r="D37" s="2" t="s">
        <v>30</v>
      </c>
      <c r="E37" s="18">
        <v>1</v>
      </c>
      <c r="F37" s="2" t="s">
        <v>22</v>
      </c>
      <c r="G37" s="2" t="s">
        <v>33</v>
      </c>
      <c r="H37" s="4">
        <v>0.97</v>
      </c>
      <c r="I37" s="4">
        <v>0.16</v>
      </c>
      <c r="J37" s="6">
        <f t="shared" si="0"/>
        <v>0.16494845360824742</v>
      </c>
      <c r="K37" s="4">
        <f t="shared" si="1"/>
        <v>-0.80999999999999994</v>
      </c>
      <c r="L37" s="4">
        <f t="shared" si="2"/>
        <v>0.20800000000000002</v>
      </c>
      <c r="M37" s="6">
        <f t="shared" si="3"/>
        <v>0.21443298969072166</v>
      </c>
      <c r="N37" s="4">
        <f t="shared" si="4"/>
        <v>-0.76200000000000001</v>
      </c>
      <c r="O37" s="1">
        <f t="shared" si="12"/>
        <v>1.4549999999999999E-2</v>
      </c>
      <c r="P37" s="4"/>
      <c r="R37" s="2"/>
      <c r="S37" s="2" t="s">
        <v>98</v>
      </c>
      <c r="T37" t="s">
        <v>194</v>
      </c>
    </row>
    <row r="38" spans="1:23" x14ac:dyDescent="0.25">
      <c r="A38" s="9">
        <v>43558</v>
      </c>
      <c r="B38" s="9" t="s">
        <v>22</v>
      </c>
      <c r="C38" s="16" t="s">
        <v>35</v>
      </c>
      <c r="D38" s="2" t="s">
        <v>36</v>
      </c>
      <c r="E38" s="18">
        <v>1</v>
      </c>
      <c r="F38" s="2" t="s">
        <v>22</v>
      </c>
      <c r="G38" s="2" t="s">
        <v>34</v>
      </c>
      <c r="H38" s="4">
        <v>8.39</v>
      </c>
      <c r="I38" s="4">
        <v>3.76</v>
      </c>
      <c r="J38" s="6">
        <f t="shared" si="0"/>
        <v>0.44815256257449337</v>
      </c>
      <c r="K38" s="4">
        <f t="shared" si="1"/>
        <v>-4.6300000000000008</v>
      </c>
      <c r="L38" s="4">
        <f t="shared" si="2"/>
        <v>4.8879999999999999</v>
      </c>
      <c r="M38" s="6">
        <f t="shared" si="3"/>
        <v>0.58259833134684147</v>
      </c>
      <c r="N38" s="4">
        <f t="shared" si="4"/>
        <v>-3.5020000000000007</v>
      </c>
      <c r="O38" s="1">
        <f t="shared" si="12"/>
        <v>0.12585000000000002</v>
      </c>
      <c r="P38" s="4"/>
      <c r="R38" s="2"/>
      <c r="S38" s="2" t="s">
        <v>98</v>
      </c>
      <c r="T38" t="s">
        <v>194</v>
      </c>
    </row>
    <row r="39" spans="1:23" x14ac:dyDescent="0.25">
      <c r="A39" s="9">
        <v>43558</v>
      </c>
      <c r="B39" s="9" t="s">
        <v>22</v>
      </c>
      <c r="C39" s="16" t="s">
        <v>37</v>
      </c>
      <c r="D39" s="2" t="s">
        <v>38</v>
      </c>
      <c r="E39" s="18">
        <v>1</v>
      </c>
      <c r="F39" s="2" t="s">
        <v>22</v>
      </c>
      <c r="G39" s="2" t="s">
        <v>33</v>
      </c>
      <c r="H39" s="4">
        <v>2.35</v>
      </c>
      <c r="I39" s="4">
        <v>0.91</v>
      </c>
      <c r="J39" s="6">
        <f t="shared" si="0"/>
        <v>0.38723404255319149</v>
      </c>
      <c r="K39" s="4">
        <f t="shared" si="1"/>
        <v>-1.44</v>
      </c>
      <c r="L39" s="4">
        <f t="shared" si="2"/>
        <v>1.1830000000000001</v>
      </c>
      <c r="M39" s="6">
        <f t="shared" si="3"/>
        <v>0.5034042553191489</v>
      </c>
      <c r="N39" s="4">
        <f t="shared" si="4"/>
        <v>-1.167</v>
      </c>
      <c r="O39" s="1">
        <f t="shared" si="12"/>
        <v>3.5249999999999997E-2</v>
      </c>
      <c r="P39" s="4"/>
      <c r="R39" s="2"/>
      <c r="S39" s="2" t="s">
        <v>98</v>
      </c>
      <c r="T39" t="s">
        <v>194</v>
      </c>
    </row>
    <row r="40" spans="1:23" x14ac:dyDescent="0.25">
      <c r="A40" s="9">
        <v>43558</v>
      </c>
      <c r="B40" s="9" t="s">
        <v>22</v>
      </c>
      <c r="C40" s="16" t="s">
        <v>39</v>
      </c>
      <c r="D40" s="2" t="s">
        <v>18</v>
      </c>
      <c r="E40" s="18">
        <v>1</v>
      </c>
      <c r="F40" s="2" t="s">
        <v>22</v>
      </c>
      <c r="G40" s="2" t="s">
        <v>6</v>
      </c>
      <c r="H40" s="4">
        <v>1</v>
      </c>
      <c r="I40" s="4">
        <v>1.8</v>
      </c>
      <c r="J40" s="6">
        <f t="shared" si="0"/>
        <v>1.8</v>
      </c>
      <c r="K40" s="4">
        <f t="shared" si="1"/>
        <v>0.8</v>
      </c>
      <c r="L40" s="4">
        <f t="shared" si="2"/>
        <v>2.3400000000000003</v>
      </c>
      <c r="M40" s="6">
        <f t="shared" si="3"/>
        <v>2.3400000000000003</v>
      </c>
      <c r="N40" s="4">
        <f t="shared" si="4"/>
        <v>1.3400000000000003</v>
      </c>
      <c r="O40" s="1">
        <f t="shared" si="12"/>
        <v>1.4999999999999999E-2</v>
      </c>
      <c r="P40" s="4"/>
      <c r="R40" s="2"/>
      <c r="S40" s="2" t="s">
        <v>102</v>
      </c>
      <c r="T40" t="s">
        <v>197</v>
      </c>
    </row>
    <row r="41" spans="1:23" x14ac:dyDescent="0.25">
      <c r="A41" s="9">
        <v>43560</v>
      </c>
      <c r="B41" s="9" t="s">
        <v>22</v>
      </c>
      <c r="C41" s="16" t="s">
        <v>61</v>
      </c>
      <c r="D41" s="2" t="s">
        <v>62</v>
      </c>
      <c r="E41" s="18">
        <v>1</v>
      </c>
      <c r="F41" s="2" t="s">
        <v>22</v>
      </c>
      <c r="G41" s="2" t="s">
        <v>6</v>
      </c>
      <c r="H41" s="4">
        <v>3.44</v>
      </c>
      <c r="I41" s="4">
        <v>3</v>
      </c>
      <c r="J41" s="6">
        <f t="shared" si="0"/>
        <v>0.87209302325581395</v>
      </c>
      <c r="K41" s="4">
        <f t="shared" si="1"/>
        <v>-0.43999999999999995</v>
      </c>
      <c r="L41" s="4">
        <f t="shared" si="2"/>
        <v>3.9000000000000004</v>
      </c>
      <c r="M41" s="6">
        <f t="shared" si="3"/>
        <v>1.1337209302325582</v>
      </c>
      <c r="N41" s="4">
        <f t="shared" si="4"/>
        <v>0.46000000000000041</v>
      </c>
      <c r="O41" s="1">
        <f t="shared" si="12"/>
        <v>5.16E-2</v>
      </c>
      <c r="P41" s="4"/>
      <c r="R41" s="2"/>
      <c r="S41" s="2" t="s">
        <v>98</v>
      </c>
      <c r="T41" t="s">
        <v>194</v>
      </c>
    </row>
    <row r="42" spans="1:23" x14ac:dyDescent="0.25">
      <c r="B42" s="9"/>
      <c r="H42" s="4"/>
      <c r="I42" s="4"/>
      <c r="J42" s="6"/>
      <c r="K42" s="4"/>
      <c r="L42" s="4"/>
      <c r="M42" s="6"/>
      <c r="N42" s="4"/>
      <c r="O42" s="1"/>
      <c r="R42" s="2"/>
    </row>
    <row r="43" spans="1:23" x14ac:dyDescent="0.25">
      <c r="A43" s="11" t="s">
        <v>25</v>
      </c>
      <c r="B43" s="11"/>
      <c r="C43" s="12"/>
      <c r="D43" s="12"/>
      <c r="E43" s="21">
        <f>SUM(E9:E41)</f>
        <v>46</v>
      </c>
      <c r="F43" s="12"/>
      <c r="G43" s="12"/>
      <c r="H43" s="13">
        <f>SUM(H9:H42)</f>
        <v>188.10600000000002</v>
      </c>
      <c r="I43" s="13">
        <f>SUM(I9:I42)</f>
        <v>170.38999999999996</v>
      </c>
      <c r="J43" s="31"/>
      <c r="K43" s="13">
        <f>SUM(K9:K42)</f>
        <v>-17.715999999999998</v>
      </c>
      <c r="L43" s="13">
        <f>SUM(L9:L42)</f>
        <v>221.50699999999998</v>
      </c>
      <c r="M43" s="31"/>
      <c r="N43" s="13">
        <f>SUM(N9:N42)</f>
        <v>33.401000000000003</v>
      </c>
      <c r="O43" s="13">
        <f>SUM(O9:O42)</f>
        <v>2.7077399999999989</v>
      </c>
      <c r="P43" s="13">
        <f>SUM(P9:P42)</f>
        <v>185.70000000000002</v>
      </c>
      <c r="Q43" s="13">
        <f>SUM(Q9:Q42)</f>
        <v>19.063999999999993</v>
      </c>
      <c r="R43" s="59">
        <f>H67</f>
        <v>0.11437830052808413</v>
      </c>
      <c r="U43" s="55"/>
      <c r="V43" s="1"/>
      <c r="W43" s="56"/>
    </row>
    <row r="44" spans="1:23" x14ac:dyDescent="0.25">
      <c r="A44" s="15" t="s">
        <v>117</v>
      </c>
      <c r="B44" s="10"/>
      <c r="I44" s="20">
        <f>(I43/$H$43)-1</f>
        <v>-9.4180940533529323E-2</v>
      </c>
      <c r="J44" s="17"/>
      <c r="K44" s="17"/>
      <c r="L44" s="20">
        <f>(L43/$H$43)-1</f>
        <v>0.17756477730641218</v>
      </c>
      <c r="M44" s="17"/>
      <c r="N44" s="17"/>
      <c r="O44" s="20">
        <f>(O43/$H$43)</f>
        <v>1.439475614812924E-2</v>
      </c>
      <c r="S44" s="2"/>
      <c r="U44" s="55"/>
      <c r="V44" s="1"/>
      <c r="W44" s="56"/>
    </row>
    <row r="45" spans="1:23" x14ac:dyDescent="0.25">
      <c r="A45" s="15" t="s">
        <v>170</v>
      </c>
      <c r="B45" s="10"/>
      <c r="L45" s="40"/>
      <c r="M45" s="40"/>
      <c r="N45" s="40"/>
      <c r="O45" s="40"/>
      <c r="P45" s="1"/>
      <c r="R45" s="63"/>
      <c r="S45" s="2"/>
      <c r="U45" s="55"/>
      <c r="V45" s="1"/>
      <c r="W45" s="56"/>
    </row>
    <row r="46" spans="1:23" x14ac:dyDescent="0.25">
      <c r="B46" s="10"/>
      <c r="H46" s="5"/>
      <c r="L46" s="40"/>
      <c r="M46" s="40"/>
      <c r="N46" s="40"/>
      <c r="O46" s="40"/>
      <c r="P46" s="10" t="s">
        <v>180</v>
      </c>
      <c r="Q46" s="47"/>
      <c r="R46" s="64" t="s">
        <v>181</v>
      </c>
      <c r="S46" s="10"/>
      <c r="V46" s="1"/>
    </row>
    <row r="47" spans="1:23" x14ac:dyDescent="0.25">
      <c r="A47" s="15"/>
      <c r="B47" s="10"/>
      <c r="G47" s="61" t="s">
        <v>178</v>
      </c>
      <c r="H47" s="70">
        <v>166.64</v>
      </c>
      <c r="I47" s="62">
        <v>157.38999999999999</v>
      </c>
      <c r="L47" s="40"/>
      <c r="M47" s="40"/>
      <c r="N47" s="40"/>
      <c r="O47" s="60" t="s">
        <v>178</v>
      </c>
      <c r="P47" s="65">
        <f>E65</f>
        <v>166.64000000000004</v>
      </c>
      <c r="Q47" s="66"/>
      <c r="R47" s="67">
        <f>H67</f>
        <v>0.11437830052808413</v>
      </c>
    </row>
    <row r="48" spans="1:23" ht="18.75" x14ac:dyDescent="0.3">
      <c r="B48" s="10"/>
      <c r="C48" s="39" t="s">
        <v>116</v>
      </c>
      <c r="H48" s="40"/>
      <c r="I48" s="40">
        <f>I47/H47-1</f>
        <v>-5.550888142102739E-2</v>
      </c>
      <c r="L48" s="40"/>
      <c r="M48" s="40"/>
      <c r="N48" s="40"/>
      <c r="O48" s="60" t="s">
        <v>179</v>
      </c>
      <c r="P48" s="68">
        <f>E69</f>
        <v>173.20000000000005</v>
      </c>
      <c r="Q48" s="65"/>
      <c r="R48" s="67">
        <f>H71</f>
        <v>7.2170900692840295E-2</v>
      </c>
    </row>
    <row r="49" spans="1:18" x14ac:dyDescent="0.25">
      <c r="A49" s="29" t="s">
        <v>24</v>
      </c>
      <c r="B49" s="29"/>
      <c r="C49" s="3"/>
      <c r="D49" s="29" t="s">
        <v>76</v>
      </c>
      <c r="E49" s="29" t="s">
        <v>75</v>
      </c>
      <c r="F49" s="30" t="s">
        <v>128</v>
      </c>
      <c r="G49" s="45"/>
      <c r="H49" s="46"/>
      <c r="O49" s="8"/>
      <c r="P49" s="1"/>
    </row>
    <row r="50" spans="1:18" x14ac:dyDescent="0.25">
      <c r="A50" s="9">
        <v>43563</v>
      </c>
      <c r="B50" s="28" t="s">
        <v>84</v>
      </c>
      <c r="C50" s="27" t="s">
        <v>77</v>
      </c>
      <c r="D50" s="4">
        <v>296.61</v>
      </c>
      <c r="E50" s="4">
        <v>185.79</v>
      </c>
      <c r="F50" s="6">
        <f t="shared" ref="F50:F53" si="21">D50/E50-1</f>
        <v>0.59647989665751666</v>
      </c>
      <c r="G50" s="19" t="s">
        <v>92</v>
      </c>
      <c r="O50" s="60" t="s">
        <v>182</v>
      </c>
      <c r="P50" s="1">
        <f>H43</f>
        <v>188.10600000000002</v>
      </c>
      <c r="R50" s="56">
        <f>G67/P50</f>
        <v>0.10132584819197656</v>
      </c>
    </row>
    <row r="51" spans="1:18" x14ac:dyDescent="0.25">
      <c r="A51" s="9">
        <v>43585</v>
      </c>
      <c r="B51" s="28" t="s">
        <v>84</v>
      </c>
      <c r="C51" s="10" t="s">
        <v>158</v>
      </c>
      <c r="D51" s="4">
        <v>297.19</v>
      </c>
      <c r="E51" s="4">
        <v>188.11</v>
      </c>
      <c r="F51" s="6">
        <f t="shared" si="21"/>
        <v>0.57987347828398272</v>
      </c>
      <c r="G51" s="19" t="s">
        <v>118</v>
      </c>
      <c r="O51" s="60" t="s">
        <v>199</v>
      </c>
      <c r="P51" s="1">
        <f>P50+6.56</f>
        <v>194.66600000000003</v>
      </c>
      <c r="R51" s="56">
        <f>G71/P51</f>
        <v>6.4212548673111589E-2</v>
      </c>
    </row>
    <row r="52" spans="1:18" x14ac:dyDescent="0.25">
      <c r="A52" s="9">
        <v>43590</v>
      </c>
      <c r="B52" s="28" t="s">
        <v>84</v>
      </c>
      <c r="C52" s="10" t="s">
        <v>158</v>
      </c>
      <c r="D52" s="4">
        <v>301.69</v>
      </c>
      <c r="E52" s="4">
        <v>188.11</v>
      </c>
      <c r="F52" s="6">
        <f t="shared" si="21"/>
        <v>0.6037956514805165</v>
      </c>
      <c r="G52" s="19" t="s">
        <v>159</v>
      </c>
    </row>
    <row r="53" spans="1:18" x14ac:dyDescent="0.25">
      <c r="A53" s="9">
        <v>43626</v>
      </c>
      <c r="B53" s="28" t="s">
        <v>84</v>
      </c>
      <c r="C53" s="10" t="s">
        <v>158</v>
      </c>
      <c r="D53" s="4">
        <v>293.75</v>
      </c>
      <c r="E53" s="4">
        <v>188.11</v>
      </c>
      <c r="F53" s="6">
        <f t="shared" si="21"/>
        <v>0.56158630588485448</v>
      </c>
      <c r="G53" s="19" t="s">
        <v>174</v>
      </c>
    </row>
    <row r="54" spans="1:18" x14ac:dyDescent="0.25">
      <c r="D54" s="4"/>
      <c r="E54" s="4"/>
      <c r="O54" s="60" t="s">
        <v>184</v>
      </c>
      <c r="P54" s="1">
        <f>P43+O43</f>
        <v>188.40774000000002</v>
      </c>
    </row>
    <row r="55" spans="1:18" ht="18.75" x14ac:dyDescent="0.3">
      <c r="C55" s="39" t="s">
        <v>127</v>
      </c>
      <c r="D55" s="4"/>
      <c r="E55" s="4"/>
      <c r="O55" s="60" t="str">
        <f>"- Total Buy-in $"</f>
        <v>- Total Buy-in $</v>
      </c>
      <c r="P55" s="71">
        <f>H43</f>
        <v>188.10600000000002</v>
      </c>
    </row>
    <row r="56" spans="1:18" x14ac:dyDescent="0.25">
      <c r="A56" s="3"/>
      <c r="B56" s="3"/>
      <c r="C56" s="29"/>
      <c r="D56" s="42"/>
      <c r="E56" s="41" t="s">
        <v>119</v>
      </c>
      <c r="F56" s="30" t="s">
        <v>121</v>
      </c>
      <c r="G56" s="30" t="s">
        <v>120</v>
      </c>
      <c r="O56" s="60" t="s">
        <v>183</v>
      </c>
      <c r="P56" s="1">
        <f>P54-P55</f>
        <v>0.30173999999999523</v>
      </c>
    </row>
    <row r="57" spans="1:18" x14ac:dyDescent="0.25">
      <c r="A57" s="9">
        <v>43585</v>
      </c>
      <c r="B57" s="10" t="s">
        <v>109</v>
      </c>
      <c r="C57" s="10" t="s">
        <v>115</v>
      </c>
      <c r="D57" s="43" t="s">
        <v>124</v>
      </c>
      <c r="E57" s="44">
        <v>18.62</v>
      </c>
      <c r="F57" s="57">
        <v>0.19</v>
      </c>
      <c r="G57" s="4">
        <v>22.21</v>
      </c>
      <c r="H57" s="19" t="s">
        <v>108</v>
      </c>
    </row>
    <row r="58" spans="1:18" x14ac:dyDescent="0.25">
      <c r="A58" s="9">
        <v>43586</v>
      </c>
      <c r="B58" s="10" t="s">
        <v>105</v>
      </c>
      <c r="C58" s="15" t="s">
        <v>110</v>
      </c>
      <c r="D58" s="43" t="s">
        <v>111</v>
      </c>
      <c r="E58" s="44">
        <v>10.14</v>
      </c>
      <c r="F58" s="57">
        <v>0.11</v>
      </c>
      <c r="G58" s="4">
        <v>11.28</v>
      </c>
      <c r="H58" s="19" t="s">
        <v>112</v>
      </c>
    </row>
    <row r="59" spans="1:18" x14ac:dyDescent="0.25">
      <c r="A59" s="9">
        <v>43589</v>
      </c>
      <c r="B59" s="10" t="s">
        <v>105</v>
      </c>
      <c r="C59" s="15" t="s">
        <v>122</v>
      </c>
      <c r="D59" s="43" t="s">
        <v>111</v>
      </c>
      <c r="E59" s="44">
        <v>51.3</v>
      </c>
      <c r="F59" s="58">
        <v>0.31</v>
      </c>
      <c r="G59" s="4">
        <v>67.13</v>
      </c>
      <c r="H59" s="19" t="s">
        <v>123</v>
      </c>
    </row>
    <row r="60" spans="1:18" x14ac:dyDescent="0.25">
      <c r="A60" s="9">
        <v>43590</v>
      </c>
      <c r="B60" s="10" t="s">
        <v>109</v>
      </c>
      <c r="C60" s="15" t="s">
        <v>125</v>
      </c>
      <c r="D60" s="43" t="s">
        <v>124</v>
      </c>
      <c r="E60" s="44">
        <v>26.73</v>
      </c>
      <c r="F60" s="58">
        <v>0.23</v>
      </c>
      <c r="G60" s="4">
        <v>32.29</v>
      </c>
      <c r="H60" s="19" t="s">
        <v>126</v>
      </c>
    </row>
    <row r="61" spans="1:18" x14ac:dyDescent="0.25">
      <c r="A61" s="9">
        <v>43624</v>
      </c>
      <c r="B61" s="10" t="s">
        <v>109</v>
      </c>
      <c r="C61" s="15" t="s">
        <v>63</v>
      </c>
      <c r="D61" s="43" t="s">
        <v>124</v>
      </c>
      <c r="E61" s="44">
        <v>22</v>
      </c>
      <c r="F61" s="58">
        <v>0.12</v>
      </c>
      <c r="G61" s="4">
        <v>24.65</v>
      </c>
      <c r="H61" s="19" t="s">
        <v>185</v>
      </c>
    </row>
    <row r="62" spans="1:18" x14ac:dyDescent="0.25">
      <c r="A62" s="9">
        <v>43624</v>
      </c>
      <c r="B62" s="10" t="s">
        <v>169</v>
      </c>
      <c r="C62" s="15" t="s">
        <v>93</v>
      </c>
      <c r="D62" s="43" t="s">
        <v>175</v>
      </c>
      <c r="E62" s="44">
        <v>9.99</v>
      </c>
      <c r="F62" s="58">
        <v>-0.16700000000000001</v>
      </c>
      <c r="G62" s="4">
        <v>7.5</v>
      </c>
      <c r="H62" s="19" t="s">
        <v>186</v>
      </c>
    </row>
    <row r="63" spans="1:18" x14ac:dyDescent="0.25">
      <c r="A63" s="9">
        <v>43626</v>
      </c>
      <c r="B63" s="10" t="s">
        <v>109</v>
      </c>
      <c r="C63" s="15" t="s">
        <v>176</v>
      </c>
      <c r="D63" s="43" t="s">
        <v>124</v>
      </c>
      <c r="E63" s="44">
        <v>27.86</v>
      </c>
      <c r="F63" s="58">
        <v>-0.26400000000000001</v>
      </c>
      <c r="G63" s="4">
        <v>20.64</v>
      </c>
      <c r="H63" s="19" t="s">
        <v>187</v>
      </c>
    </row>
    <row r="64" spans="1:18" x14ac:dyDescent="0.25">
      <c r="A64" s="9"/>
      <c r="D64" s="43"/>
      <c r="E64" s="44"/>
      <c r="F64" s="58"/>
      <c r="G64" s="4"/>
    </row>
    <row r="65" spans="4:9" x14ac:dyDescent="0.25">
      <c r="D65" s="10" t="s">
        <v>129</v>
      </c>
      <c r="E65" s="5">
        <f>SUM(E57:E63)</f>
        <v>166.64000000000004</v>
      </c>
      <c r="F65" s="57">
        <f>(G65-E65)/G65</f>
        <v>0.10263866451265453</v>
      </c>
      <c r="G65" s="5">
        <f>SUM(G57:G63)</f>
        <v>185.7</v>
      </c>
      <c r="I65" s="5"/>
    </row>
    <row r="67" spans="4:9" x14ac:dyDescent="0.25">
      <c r="D67" s="10" t="s">
        <v>177</v>
      </c>
      <c r="G67" s="47">
        <f>G65-E65</f>
        <v>19.059999999999945</v>
      </c>
      <c r="H67" s="57">
        <f>G67/E65</f>
        <v>0.11437830052808413</v>
      </c>
    </row>
    <row r="69" spans="4:9" x14ac:dyDescent="0.25">
      <c r="D69" s="60" t="s">
        <v>198</v>
      </c>
      <c r="E69" s="5">
        <f>E65+6.56</f>
        <v>173.20000000000005</v>
      </c>
      <c r="F69" s="57">
        <f>(G69-E69)/G69</f>
        <v>6.7312870220785914E-2</v>
      </c>
      <c r="G69" s="4">
        <v>185.7</v>
      </c>
    </row>
    <row r="71" spans="4:9" x14ac:dyDescent="0.25">
      <c r="G71" s="47">
        <f>G69-E69</f>
        <v>12.499999999999943</v>
      </c>
      <c r="H71" s="57">
        <f>G71/E69</f>
        <v>7.2170900692840295E-2</v>
      </c>
    </row>
  </sheetData>
  <conditionalFormatting sqref="J9:J41">
    <cfRule type="cellIs" dxfId="7" priority="13" operator="greaterThan">
      <formula>0.999</formula>
    </cfRule>
  </conditionalFormatting>
  <conditionalFormatting sqref="N9:N41">
    <cfRule type="top10" dxfId="6" priority="24" percent="1" bottom="1" rank="10"/>
    <cfRule type="cellIs" dxfId="5" priority="25" operator="greaterThan">
      <formula>0</formula>
    </cfRule>
  </conditionalFormatting>
  <conditionalFormatting sqref="K9:K41">
    <cfRule type="top10" dxfId="4" priority="28" percent="1" rank="10"/>
    <cfRule type="top10" dxfId="3" priority="29" percent="1" bottom="1" rank="10"/>
  </conditionalFormatting>
  <conditionalFormatting sqref="Q9:Q41">
    <cfRule type="cellIs" dxfId="2" priority="2" operator="lessThan">
      <formula>0</formula>
    </cfRule>
    <cfRule type="cellIs" dxfId="1" priority="3" operator="greaterThan">
      <formula>0.01</formula>
    </cfRule>
  </conditionalFormatting>
  <conditionalFormatting sqref="R9:R42">
    <cfRule type="cellIs" dxfId="0" priority="1" operator="lessThan">
      <formula>0</formula>
    </cfRule>
  </conditionalFormatting>
  <hyperlinks>
    <hyperlink ref="C50" r:id="rId1" xr:uid="{00000000-0004-0000-0000-000001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</dc:creator>
  <cp:lastModifiedBy>Landon Crispens</cp:lastModifiedBy>
  <dcterms:created xsi:type="dcterms:W3CDTF">2019-04-04T02:07:40Z</dcterms:created>
  <dcterms:modified xsi:type="dcterms:W3CDTF">2019-07-01T16:29:38Z</dcterms:modified>
</cp:coreProperties>
</file>