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FE8A8D02-57A5-40DF-A7FB-0BE6E832842C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1" r:id="rId1"/>
    <sheet name="EV 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2" l="1"/>
  <c r="L15" i="2"/>
  <c r="L11" i="2"/>
  <c r="L10" i="2"/>
  <c r="C20" i="2"/>
  <c r="D20" i="2" s="1"/>
  <c r="B23" i="2"/>
  <c r="C9" i="2" s="1"/>
  <c r="C16" i="2" l="1"/>
  <c r="D16" i="2" s="1"/>
  <c r="C12" i="2"/>
  <c r="D12" i="2" s="1"/>
  <c r="C8" i="2"/>
  <c r="D8" i="2" s="1"/>
  <c r="E9" i="2"/>
  <c r="D9" i="2"/>
  <c r="C19" i="2"/>
  <c r="C11" i="2"/>
  <c r="C7" i="2"/>
  <c r="C18" i="2"/>
  <c r="C14" i="2"/>
  <c r="C10" i="2"/>
  <c r="E20" i="2"/>
  <c r="E16" i="2"/>
  <c r="E12" i="2"/>
  <c r="E8" i="2"/>
  <c r="C15" i="2"/>
  <c r="C21" i="2"/>
  <c r="C17" i="2"/>
  <c r="C13" i="2"/>
  <c r="B68" i="1"/>
  <c r="D66" i="1"/>
  <c r="B66" i="1"/>
  <c r="D65" i="1"/>
  <c r="B65" i="1"/>
  <c r="B52" i="1"/>
  <c r="D13" i="2" l="1"/>
  <c r="E13" i="2"/>
  <c r="D10" i="2"/>
  <c r="E10" i="2"/>
  <c r="E11" i="2"/>
  <c r="D11" i="2"/>
  <c r="E17" i="2"/>
  <c r="D17" i="2"/>
  <c r="E14" i="2"/>
  <c r="D14" i="2"/>
  <c r="E19" i="2"/>
  <c r="D19" i="2"/>
  <c r="E21" i="2"/>
  <c r="D21" i="2"/>
  <c r="D18" i="2"/>
  <c r="E18" i="2"/>
  <c r="E15" i="2"/>
  <c r="D15" i="2"/>
  <c r="E7" i="2"/>
  <c r="C23" i="2"/>
  <c r="D7" i="2"/>
  <c r="I59" i="1"/>
  <c r="I56" i="1"/>
  <c r="I58" i="1"/>
  <c r="I55" i="1"/>
  <c r="B42" i="1"/>
  <c r="B41" i="1"/>
  <c r="I62" i="1"/>
  <c r="I61" i="1"/>
  <c r="B62" i="1"/>
  <c r="B61" i="1"/>
  <c r="I39" i="1"/>
  <c r="I38" i="1"/>
  <c r="B39" i="1"/>
  <c r="B38" i="1"/>
  <c r="B58" i="1"/>
  <c r="I36" i="1"/>
  <c r="I35" i="1"/>
  <c r="B35" i="1"/>
  <c r="B36" i="1"/>
  <c r="B59" i="1"/>
  <c r="B56" i="1"/>
  <c r="B55" i="1"/>
  <c r="B51" i="1"/>
  <c r="B48" i="1"/>
  <c r="B47" i="1"/>
  <c r="B50" i="1"/>
  <c r="B11" i="1"/>
  <c r="B9" i="1"/>
  <c r="B7" i="1"/>
  <c r="E23" i="2" l="1"/>
  <c r="I33" i="1"/>
  <c r="I32" i="1"/>
  <c r="B33" i="1"/>
  <c r="B32" i="1"/>
  <c r="B29" i="1"/>
  <c r="B28" i="1"/>
  <c r="B24" i="1"/>
  <c r="B25" i="1"/>
  <c r="B19" i="1"/>
  <c r="B15" i="1"/>
  <c r="B27" i="1"/>
  <c r="B18" i="1" l="1"/>
  <c r="B17" i="1"/>
  <c r="B14" i="1"/>
</calcChain>
</file>

<file path=xl/sharedStrings.xml><?xml version="1.0" encoding="utf-8"?>
<sst xmlns="http://schemas.openxmlformats.org/spreadsheetml/2006/main" count="163" uniqueCount="100">
  <si>
    <t>$3 Scratch Card Odds</t>
  </si>
  <si>
    <t>1 in 4</t>
  </si>
  <si>
    <t xml:space="preserve"> </t>
  </si>
  <si>
    <t>To break at least even or win a minimum of $3.</t>
  </si>
  <si>
    <t>https://nclottery.com/ScratchOffDetail?gn=691</t>
  </si>
  <si>
    <t>To win at least $100 on one scratcher and break even, you would need to win at least one one of the remaining 2,766 prizes that awards $100. There are a total of 3,144 possible prizes left at the time of viewing the page on 12/10/19.</t>
  </si>
  <si>
    <t>for any winner</t>
  </si>
  <si>
    <t>Bingo Extra</t>
  </si>
  <si>
    <t>While the amount of printed tickets is not given, we do know the odds of hitting a winner and the quantity of winning tickets remaining by value.</t>
  </si>
  <si>
    <t>Odds of hitting two $50 or $55 winners out of 36 scratchers are even worse than one $100 or more winner.</t>
  </si>
  <si>
    <t>https://mtg.gamepedia.com/Print_sheet</t>
  </si>
  <si>
    <t>Print sheet information</t>
  </si>
  <si>
    <t>Standard set has 53 rares and 15 mythics. Rares are printed a twice the rare on sheets as a mythic.</t>
  </si>
  <si>
    <t>A print sheet has 121 cards with 2 of each rare and 1 of each mythic.</t>
  </si>
  <si>
    <t>1 in 8</t>
  </si>
  <si>
    <t>1 in 121</t>
  </si>
  <si>
    <t>Chance to pull a Mythic from a pack</t>
  </si>
  <si>
    <t>Chance to pull a specific Mythic from a pack</t>
  </si>
  <si>
    <t xml:space="preserve">7 in 8 </t>
  </si>
  <si>
    <t>Chance to pull a Rare from a pack</t>
  </si>
  <si>
    <t>1 in 676</t>
  </si>
  <si>
    <t>Chance to pull a specific Rare from a pack</t>
  </si>
  <si>
    <t>Chance to pull a specific Rare from a booster box</t>
  </si>
  <si>
    <t>Chance to pull a specific Mythic from a booster box</t>
  </si>
  <si>
    <t>1 in 3.87</t>
  </si>
  <si>
    <t>1 in 2.21</t>
  </si>
  <si>
    <t>1 in 60.5</t>
  </si>
  <si>
    <t>mythics that are worth $3 or more dollars (round up Mind's Dilation)</t>
  </si>
  <si>
    <t>rares that are worth $3 or more dollars (included Sigarda's Aid)</t>
  </si>
  <si>
    <t>TCGPLAYER LOW</t>
  </si>
  <si>
    <t>TCGPLAYER MID</t>
  </si>
  <si>
    <t>rares that are worth $3 or more dollars (included Game Trail)</t>
  </si>
  <si>
    <t>Chance to pull a $3 Mythic from a pack</t>
  </si>
  <si>
    <t>1 in 2.04</t>
  </si>
  <si>
    <t>1 in 54</t>
  </si>
  <si>
    <t>1 in 108</t>
  </si>
  <si>
    <t>1 in 15.42</t>
  </si>
  <si>
    <t>1 in 1.10</t>
  </si>
  <si>
    <t>Chance to pull a $3 Mythic from a booster box</t>
  </si>
  <si>
    <t>1 in 1.07</t>
  </si>
  <si>
    <t>1 in 13.5</t>
  </si>
  <si>
    <t>1 in 27</t>
  </si>
  <si>
    <t>Chance to pull a $3 Rare from a pack</t>
  </si>
  <si>
    <t>Chance to pull a $3 Rare from a booster box</t>
  </si>
  <si>
    <t xml:space="preserve">There were 527587 available prizes left on 12/11/19. This means that you have a 0.25*(2747/527587) chance of winning a prize large enough to break even. The available count of 531,616 would go down by one for each winner scratched, but the odds decrease is neglible for this example. </t>
  </si>
  <si>
    <t>1 in 6.71</t>
  </si>
  <si>
    <t>1 in 9.89</t>
  </si>
  <si>
    <t>to hit any prize more than $3</t>
  </si>
  <si>
    <t>to hit a $3.00 prize</t>
  </si>
  <si>
    <t>Throne of Eldraine has 15 Mythics and 53 Rares</t>
  </si>
  <si>
    <t>1 in 6.75</t>
  </si>
  <si>
    <t>1 in 1</t>
  </si>
  <si>
    <t>1 in 1.01</t>
  </si>
  <si>
    <t>1 in 15.13</t>
  </si>
  <si>
    <t>1 in 1.09</t>
  </si>
  <si>
    <t>Chance to pull a $3 Rare or $3 Mythic from a pack</t>
  </si>
  <si>
    <t>Chance to pull a $3 Rare or $3 Mythic from a booster box</t>
  </si>
  <si>
    <t>To Hit Emrakul, Liliana, or Collective Brutality in a booster box</t>
  </si>
  <si>
    <t>To Hit Emrakul, Liliana, or Collective Brutality from a pack</t>
  </si>
  <si>
    <t>1 in 1.34</t>
  </si>
  <si>
    <t>1 in 7.2</t>
  </si>
  <si>
    <t>1 in 4.69</t>
  </si>
  <si>
    <t>1 in 7.56</t>
  </si>
  <si>
    <t>1 in 5.26</t>
  </si>
  <si>
    <t>1 in 13.44</t>
  </si>
  <si>
    <t>1 in 8.64</t>
  </si>
  <si>
    <t>to hit  prize of $100 or more</t>
  </si>
  <si>
    <t>Eldritch Moon has 14 Mythics and 47 Rares</t>
  </si>
  <si>
    <t>any rare foil in a pack</t>
  </si>
  <si>
    <t>specific rare foil in a pack</t>
  </si>
  <si>
    <t>any mythic foil in a pack</t>
  </si>
  <si>
    <t>specific mythic foil in a pack</t>
  </si>
  <si>
    <t>Scatcher EV</t>
  </si>
  <si>
    <t>Value</t>
  </si>
  <si>
    <t>Quantity</t>
  </si>
  <si>
    <t>Total</t>
  </si>
  <si>
    <t>Overall Odds 1:3.99*</t>
  </si>
  <si>
    <t>Added EV Per Ticket</t>
  </si>
  <si>
    <t>Probability</t>
  </si>
  <si>
    <t>https://mtg.dawnglare.com/?p=sets</t>
  </si>
  <si>
    <t>TCGPlayer MID Booster Box EV</t>
  </si>
  <si>
    <t>TCGPlayer LOW Booster Box EV</t>
  </si>
  <si>
    <t>TCGPlayer MID Pack EV</t>
  </si>
  <si>
    <t>TCGPlayer LOW Pack EV</t>
  </si>
  <si>
    <t>Bulk Rare LGS trade-in $</t>
  </si>
  <si>
    <t>Throne of Eldraine Set EV</t>
  </si>
  <si>
    <t>25% chance to scratch a winning ticket*</t>
  </si>
  <si>
    <t>Assume you buy 4 tickets and 1 is a winner (1 out of 4)</t>
  </si>
  <si>
    <t>1.57 x 4 = $6.28</t>
  </si>
  <si>
    <t>6.28 - $12 = -$5.72   or a -47.7% return</t>
  </si>
  <si>
    <t>$10.04 - $12 = -$1.96 or a -16.3% return</t>
  </si>
  <si>
    <t>1 in #</t>
  </si>
  <si>
    <t>Floor Value Per Pack</t>
  </si>
  <si>
    <t>14 Bulk Uncommon/Common $*</t>
  </si>
  <si>
    <t>($3 per 1,000)*</t>
  </si>
  <si>
    <t>$10.04 - 15% seller fees = $8.53 or -28.9% return</t>
  </si>
  <si>
    <t>$6.28 - 15% seller fees = $5.34 or -$55.5% return</t>
  </si>
  <si>
    <t>2.51 x 4 = $10.04</t>
  </si>
  <si>
    <t>0+0+0+$7.94 = 7.94 / 4 = $1.99 EV per scratcher estimate</t>
  </si>
  <si>
    <t>$3 x 4 = $12 - $7.94 = $4.06 loss or a -33.8%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</si>
</sst>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0%"/>
    <numFmt numFmtId="171" formatCode="_(* #,##0.0_);_(* \(#,##0.0\);_(* &quot;-&quot;??_);_(@_)"/>
    <numFmt numFmtId="172" formatCode="_(* #,##0_);_(* \(#,##0\);_(* &quot;-&quot;??_);_(@_)"/>
    <numFmt numFmtId="175" formatCode="0.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0" fontId="0" fillId="0" borderId="0" xfId="1" applyNumberFormat="1" applyFont="1"/>
    <xf numFmtId="164" fontId="0" fillId="0" borderId="0" xfId="1" applyNumberFormat="1" applyFont="1"/>
    <xf numFmtId="165" fontId="0" fillId="0" borderId="0" xfId="1" applyNumberFormat="1" applyFont="1"/>
    <xf numFmtId="10" fontId="0" fillId="0" borderId="0" xfId="0" applyNumberFormat="1"/>
    <xf numFmtId="2" fontId="0" fillId="0" borderId="0" xfId="0" applyNumberFormat="1"/>
    <xf numFmtId="0" fontId="0" fillId="0" borderId="0" xfId="0" applyFont="1"/>
    <xf numFmtId="9" fontId="0" fillId="0" borderId="0" xfId="1" applyFont="1"/>
    <xf numFmtId="166" fontId="0" fillId="0" borderId="0" xfId="1" applyNumberFormat="1" applyFont="1"/>
    <xf numFmtId="0" fontId="0" fillId="0" borderId="1" xfId="0" applyBorder="1"/>
    <xf numFmtId="0" fontId="3" fillId="0" borderId="0" xfId="4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14" fontId="2" fillId="0" borderId="0" xfId="0" applyNumberFormat="1" applyFont="1"/>
    <xf numFmtId="44" fontId="2" fillId="0" borderId="0" xfId="0" applyNumberFormat="1" applyFont="1"/>
    <xf numFmtId="171" fontId="0" fillId="0" borderId="0" xfId="2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75" fontId="0" fillId="0" borderId="0" xfId="1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0" xfId="3" applyFont="1"/>
    <xf numFmtId="44" fontId="2" fillId="0" borderId="1" xfId="3" applyFont="1" applyBorder="1"/>
    <xf numFmtId="0" fontId="2" fillId="0" borderId="0" xfId="0" applyFont="1" applyAlignment="1">
      <alignment horizontal="center"/>
    </xf>
    <xf numFmtId="172" fontId="2" fillId="0" borderId="0" xfId="2" applyNumberFormat="1" applyFont="1" applyAlignment="1">
      <alignment horizontal="center"/>
    </xf>
    <xf numFmtId="9" fontId="2" fillId="0" borderId="0" xfId="1" applyFont="1" applyAlignment="1">
      <alignment horizontal="center"/>
    </xf>
    <xf numFmtId="44" fontId="2" fillId="0" borderId="0" xfId="3" applyFont="1" applyAlignment="1">
      <alignment horizontal="center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tg.dawnglare.com/?p=s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workbookViewId="0">
      <selection activeCell="D3" sqref="D3"/>
    </sheetView>
  </sheetViews>
  <sheetFormatPr defaultRowHeight="15" x14ac:dyDescent="0.25"/>
  <cols>
    <col min="1" max="1" width="12.140625" bestFit="1" customWidth="1"/>
    <col min="2" max="2" width="12" bestFit="1" customWidth="1"/>
    <col min="3" max="3" width="30.28515625" customWidth="1"/>
    <col min="4" max="4" width="12" bestFit="1" customWidth="1"/>
    <col min="6" max="6" width="12.42578125" bestFit="1" customWidth="1"/>
    <col min="7" max="7" width="12" bestFit="1" customWidth="1"/>
    <col min="8" max="8" width="12.42578125" bestFit="1" customWidth="1"/>
    <col min="9" max="9" width="11.140625" bestFit="1" customWidth="1"/>
    <col min="16" max="16" width="12" bestFit="1" customWidth="1"/>
  </cols>
  <sheetData>
    <row r="1" spans="1:15" x14ac:dyDescent="0.25">
      <c r="I1" t="s">
        <v>10</v>
      </c>
      <c r="N1" t="s">
        <v>11</v>
      </c>
    </row>
    <row r="2" spans="1:15" x14ac:dyDescent="0.25">
      <c r="A2" s="1" t="s">
        <v>7</v>
      </c>
      <c r="N2" t="s">
        <v>12</v>
      </c>
    </row>
    <row r="3" spans="1:15" x14ac:dyDescent="0.25">
      <c r="A3" s="1" t="s">
        <v>0</v>
      </c>
      <c r="D3" t="s">
        <v>4</v>
      </c>
      <c r="N3" t="s">
        <v>13</v>
      </c>
    </row>
    <row r="4" spans="1:15" x14ac:dyDescent="0.25">
      <c r="A4" t="s">
        <v>1</v>
      </c>
      <c r="B4" s="5">
        <v>0.25</v>
      </c>
      <c r="C4" t="s">
        <v>6</v>
      </c>
      <c r="D4" t="s">
        <v>2</v>
      </c>
      <c r="E4" t="s">
        <v>3</v>
      </c>
    </row>
    <row r="5" spans="1:15" x14ac:dyDescent="0.25">
      <c r="B5" s="5"/>
    </row>
    <row r="6" spans="1:15" x14ac:dyDescent="0.25">
      <c r="B6" t="s">
        <v>66</v>
      </c>
    </row>
    <row r="7" spans="1:15" x14ac:dyDescent="0.25">
      <c r="A7" t="s">
        <v>20</v>
      </c>
      <c r="B7" s="2">
        <f>SUM(0.25*(3121/527587))</f>
        <v>1.4789030055706452E-3</v>
      </c>
      <c r="D7" t="s">
        <v>5</v>
      </c>
    </row>
    <row r="8" spans="1:15" x14ac:dyDescent="0.25">
      <c r="A8" s="3"/>
      <c r="B8" s="2" t="s">
        <v>47</v>
      </c>
      <c r="D8" t="s">
        <v>44</v>
      </c>
    </row>
    <row r="9" spans="1:15" x14ac:dyDescent="0.25">
      <c r="A9" t="s">
        <v>45</v>
      </c>
      <c r="B9" s="2">
        <f>SUM(0.25*(314309/527587))</f>
        <v>0.14893704734953667</v>
      </c>
      <c r="D9" t="s">
        <v>8</v>
      </c>
    </row>
    <row r="10" spans="1:15" x14ac:dyDescent="0.25">
      <c r="B10" t="s">
        <v>48</v>
      </c>
      <c r="D10" t="s">
        <v>9</v>
      </c>
    </row>
    <row r="11" spans="1:15" x14ac:dyDescent="0.25">
      <c r="A11" s="4" t="s">
        <v>46</v>
      </c>
      <c r="B11" s="2">
        <f>SUM(0.25*(213278/527587))</f>
        <v>0.10106295265046333</v>
      </c>
    </row>
    <row r="12" spans="1:15" x14ac:dyDescent="0.25">
      <c r="A12" s="4"/>
    </row>
    <row r="13" spans="1:15" x14ac:dyDescent="0.25">
      <c r="A13" t="s">
        <v>14</v>
      </c>
      <c r="B13" s="5">
        <v>0.125</v>
      </c>
      <c r="C13" t="s">
        <v>16</v>
      </c>
      <c r="O13" s="6"/>
    </row>
    <row r="14" spans="1:15" x14ac:dyDescent="0.25">
      <c r="A14" t="s">
        <v>15</v>
      </c>
      <c r="B14" s="5">
        <f>SUM(1/121)</f>
        <v>8.2644628099173556E-3</v>
      </c>
      <c r="C14" t="s">
        <v>17</v>
      </c>
    </row>
    <row r="15" spans="1:15" x14ac:dyDescent="0.25">
      <c r="A15" t="s">
        <v>24</v>
      </c>
      <c r="B15" s="5">
        <f>SUM((1-(120/121)^36))</f>
        <v>0.25826029654437443</v>
      </c>
      <c r="C15" t="s">
        <v>23</v>
      </c>
    </row>
    <row r="17" spans="1:10" x14ac:dyDescent="0.25">
      <c r="A17" t="s">
        <v>18</v>
      </c>
      <c r="B17" s="2">
        <f>7/8</f>
        <v>0.875</v>
      </c>
      <c r="C17" t="s">
        <v>19</v>
      </c>
      <c r="I17" s="3"/>
    </row>
    <row r="18" spans="1:10" x14ac:dyDescent="0.25">
      <c r="A18" t="s">
        <v>26</v>
      </c>
      <c r="B18" s="2">
        <f>2/121</f>
        <v>1.6528925619834711E-2</v>
      </c>
      <c r="C18" t="s">
        <v>21</v>
      </c>
    </row>
    <row r="19" spans="1:10" x14ac:dyDescent="0.25">
      <c r="A19" t="s">
        <v>25</v>
      </c>
      <c r="B19" s="5">
        <f>SUM((1-(119/121)^36))</f>
        <v>0.45119598655448456</v>
      </c>
      <c r="C19" t="s">
        <v>22</v>
      </c>
    </row>
    <row r="22" spans="1:10" x14ac:dyDescent="0.25">
      <c r="A22" s="1"/>
      <c r="D22" s="1" t="s">
        <v>67</v>
      </c>
    </row>
    <row r="23" spans="1:10" x14ac:dyDescent="0.25">
      <c r="A23" t="s">
        <v>14</v>
      </c>
      <c r="B23" s="5">
        <v>0.125</v>
      </c>
      <c r="C23" t="s">
        <v>16</v>
      </c>
      <c r="H23" s="1" t="s">
        <v>29</v>
      </c>
    </row>
    <row r="24" spans="1:10" x14ac:dyDescent="0.25">
      <c r="A24" t="s">
        <v>35</v>
      </c>
      <c r="B24" s="5">
        <f>SUM(1/108)</f>
        <v>9.2592592592592587E-3</v>
      </c>
      <c r="C24" t="s">
        <v>17</v>
      </c>
      <c r="G24">
        <v>7</v>
      </c>
      <c r="H24" t="s">
        <v>27</v>
      </c>
    </row>
    <row r="25" spans="1:10" x14ac:dyDescent="0.25">
      <c r="A25" t="s">
        <v>24</v>
      </c>
      <c r="B25" s="5">
        <f>SUM((1-(107/108)^36))</f>
        <v>0.28458045764210227</v>
      </c>
      <c r="C25" t="s">
        <v>23</v>
      </c>
      <c r="G25">
        <v>4</v>
      </c>
      <c r="H25" t="s">
        <v>28</v>
      </c>
    </row>
    <row r="27" spans="1:10" x14ac:dyDescent="0.25">
      <c r="A27" t="s">
        <v>18</v>
      </c>
      <c r="B27" s="2">
        <f>7/8</f>
        <v>0.875</v>
      </c>
      <c r="C27" t="s">
        <v>19</v>
      </c>
      <c r="H27" s="1" t="s">
        <v>30</v>
      </c>
    </row>
    <row r="28" spans="1:10" x14ac:dyDescent="0.25">
      <c r="A28" t="s">
        <v>34</v>
      </c>
      <c r="B28" s="2">
        <f>2/108</f>
        <v>1.8518518518518517E-2</v>
      </c>
      <c r="C28" t="s">
        <v>21</v>
      </c>
      <c r="G28">
        <v>7</v>
      </c>
      <c r="H28" t="s">
        <v>27</v>
      </c>
    </row>
    <row r="29" spans="1:10" x14ac:dyDescent="0.25">
      <c r="A29" t="s">
        <v>33</v>
      </c>
      <c r="B29" s="5">
        <f>SUM((1-(106/108)^36))</f>
        <v>0.4897817932713453</v>
      </c>
      <c r="C29" t="s">
        <v>22</v>
      </c>
      <c r="G29">
        <v>8</v>
      </c>
      <c r="H29" t="s">
        <v>31</v>
      </c>
    </row>
    <row r="31" spans="1:10" x14ac:dyDescent="0.25">
      <c r="A31" s="1" t="s">
        <v>29</v>
      </c>
      <c r="H31" s="1" t="s">
        <v>30</v>
      </c>
    </row>
    <row r="32" spans="1:10" x14ac:dyDescent="0.25">
      <c r="A32" t="s">
        <v>36</v>
      </c>
      <c r="B32" s="5">
        <f>SUM(7/108)</f>
        <v>6.4814814814814811E-2</v>
      </c>
      <c r="C32" t="s">
        <v>32</v>
      </c>
      <c r="H32" t="s">
        <v>36</v>
      </c>
      <c r="I32" s="5">
        <f>SUM(7/108)</f>
        <v>6.4814814814814811E-2</v>
      </c>
      <c r="J32" t="s">
        <v>32</v>
      </c>
    </row>
    <row r="33" spans="1:10" x14ac:dyDescent="0.25">
      <c r="A33" t="s">
        <v>37</v>
      </c>
      <c r="B33" s="5">
        <f>SUM((1-(101/108)^36))</f>
        <v>0.910398710752929</v>
      </c>
      <c r="C33" t="s">
        <v>38</v>
      </c>
      <c r="H33" t="s">
        <v>37</v>
      </c>
      <c r="I33" s="5">
        <f>SUM((1-(101/108)^36))</f>
        <v>0.910398710752929</v>
      </c>
      <c r="J33" t="s">
        <v>38</v>
      </c>
    </row>
    <row r="35" spans="1:10" x14ac:dyDescent="0.25">
      <c r="A35" t="s">
        <v>40</v>
      </c>
      <c r="B35" s="2">
        <f>8/108</f>
        <v>7.407407407407407E-2</v>
      </c>
      <c r="C35" t="s">
        <v>42</v>
      </c>
      <c r="H35" t="s">
        <v>50</v>
      </c>
      <c r="I35" s="2">
        <f>16/108</f>
        <v>0.14814814814814814</v>
      </c>
      <c r="J35" t="s">
        <v>42</v>
      </c>
    </row>
    <row r="36" spans="1:10" x14ac:dyDescent="0.25">
      <c r="A36" t="s">
        <v>39</v>
      </c>
      <c r="B36" s="5">
        <f>SUM((1-(100/108)^36))</f>
        <v>0.93737542342645341</v>
      </c>
      <c r="C36" t="s">
        <v>43</v>
      </c>
      <c r="H36" t="s">
        <v>51</v>
      </c>
      <c r="I36" s="5">
        <f>SUM((1-(92/108)^36))</f>
        <v>0.99688751987485247</v>
      </c>
      <c r="J36" t="s">
        <v>43</v>
      </c>
    </row>
    <row r="38" spans="1:10" x14ac:dyDescent="0.25">
      <c r="A38" t="s">
        <v>60</v>
      </c>
      <c r="B38" s="2">
        <f>15/108</f>
        <v>0.1388888888888889</v>
      </c>
      <c r="C38" t="s">
        <v>55</v>
      </c>
      <c r="H38" t="s">
        <v>61</v>
      </c>
      <c r="I38" s="2">
        <f>23/108</f>
        <v>0.21296296296296297</v>
      </c>
      <c r="J38" t="s">
        <v>55</v>
      </c>
    </row>
    <row r="39" spans="1:10" x14ac:dyDescent="0.25">
      <c r="A39" t="s">
        <v>51</v>
      </c>
      <c r="B39" s="5">
        <f>SUM((1-(93/108)^36))</f>
        <v>0.99540663506851257</v>
      </c>
      <c r="C39" t="s">
        <v>56</v>
      </c>
      <c r="H39" t="s">
        <v>51</v>
      </c>
      <c r="I39" s="5">
        <f>SUM((1-(85/108)^36))</f>
        <v>0.99981977039612002</v>
      </c>
      <c r="J39" t="s">
        <v>56</v>
      </c>
    </row>
    <row r="40" spans="1:10" x14ac:dyDescent="0.25">
      <c r="B40" s="5"/>
      <c r="I40" s="5"/>
    </row>
    <row r="41" spans="1:10" x14ac:dyDescent="0.25">
      <c r="A41" t="s">
        <v>41</v>
      </c>
      <c r="B41" s="2">
        <f>4/108</f>
        <v>3.7037037037037035E-2</v>
      </c>
      <c r="C41" s="7" t="s">
        <v>58</v>
      </c>
      <c r="I41" s="5"/>
    </row>
    <row r="42" spans="1:10" x14ac:dyDescent="0.25">
      <c r="A42" t="s">
        <v>59</v>
      </c>
      <c r="B42" s="5">
        <f>SUM((1-(104/108)^36))</f>
        <v>0.74299296152058392</v>
      </c>
      <c r="C42" s="7" t="s">
        <v>57</v>
      </c>
    </row>
    <row r="43" spans="1:10" x14ac:dyDescent="0.25">
      <c r="B43" s="5"/>
    </row>
    <row r="44" spans="1:10" x14ac:dyDescent="0.25">
      <c r="B44" s="5"/>
      <c r="D44" s="1" t="s">
        <v>49</v>
      </c>
    </row>
    <row r="45" spans="1:10" x14ac:dyDescent="0.25">
      <c r="A45" s="1"/>
      <c r="H45" s="1" t="s">
        <v>29</v>
      </c>
    </row>
    <row r="46" spans="1:10" x14ac:dyDescent="0.25">
      <c r="A46" t="s">
        <v>14</v>
      </c>
      <c r="B46" s="5">
        <v>0.125</v>
      </c>
      <c r="C46" t="s">
        <v>16</v>
      </c>
      <c r="G46">
        <v>8</v>
      </c>
      <c r="H46" t="s">
        <v>27</v>
      </c>
    </row>
    <row r="47" spans="1:10" x14ac:dyDescent="0.25">
      <c r="A47" t="s">
        <v>15</v>
      </c>
      <c r="B47" s="5">
        <f>SUM(1/121)</f>
        <v>8.2644628099173556E-3</v>
      </c>
      <c r="C47" t="s">
        <v>17</v>
      </c>
      <c r="G47">
        <v>4</v>
      </c>
      <c r="H47" t="s">
        <v>28</v>
      </c>
    </row>
    <row r="48" spans="1:10" x14ac:dyDescent="0.25">
      <c r="A48" t="s">
        <v>24</v>
      </c>
      <c r="B48" s="5">
        <f>SUM((1-(120/121)^36))</f>
        <v>0.25826029654437443</v>
      </c>
      <c r="C48" t="s">
        <v>23</v>
      </c>
    </row>
    <row r="49" spans="1:10" x14ac:dyDescent="0.25">
      <c r="H49" s="1" t="s">
        <v>30</v>
      </c>
    </row>
    <row r="50" spans="1:10" x14ac:dyDescent="0.25">
      <c r="A50" t="s">
        <v>18</v>
      </c>
      <c r="B50" s="2">
        <f>7/8</f>
        <v>0.875</v>
      </c>
      <c r="C50" t="s">
        <v>19</v>
      </c>
      <c r="G50">
        <v>9</v>
      </c>
      <c r="H50" t="s">
        <v>27</v>
      </c>
    </row>
    <row r="51" spans="1:10" x14ac:dyDescent="0.25">
      <c r="A51" t="s">
        <v>26</v>
      </c>
      <c r="B51" s="2">
        <f>2/121</f>
        <v>1.6528925619834711E-2</v>
      </c>
      <c r="C51" t="s">
        <v>21</v>
      </c>
      <c r="G51">
        <v>7</v>
      </c>
      <c r="H51" t="s">
        <v>31</v>
      </c>
    </row>
    <row r="52" spans="1:10" x14ac:dyDescent="0.25">
      <c r="A52" t="s">
        <v>25</v>
      </c>
      <c r="B52" s="5">
        <f>SUM((1-(119/121)^36))</f>
        <v>0.45119598655448456</v>
      </c>
      <c r="C52" t="s">
        <v>22</v>
      </c>
    </row>
    <row r="53" spans="1:10" x14ac:dyDescent="0.25">
      <c r="B53" s="5"/>
    </row>
    <row r="54" spans="1:10" x14ac:dyDescent="0.25">
      <c r="A54" s="1" t="s">
        <v>29</v>
      </c>
      <c r="H54" s="1" t="s">
        <v>30</v>
      </c>
    </row>
    <row r="55" spans="1:10" x14ac:dyDescent="0.25">
      <c r="A55" t="s">
        <v>53</v>
      </c>
      <c r="B55" s="5">
        <f>SUM(8/121)</f>
        <v>6.6115702479338845E-2</v>
      </c>
      <c r="C55" t="s">
        <v>32</v>
      </c>
      <c r="H55" t="s">
        <v>64</v>
      </c>
      <c r="I55" s="5">
        <f>SUM(9/121)</f>
        <v>7.43801652892562E-2</v>
      </c>
      <c r="J55" t="s">
        <v>32</v>
      </c>
    </row>
    <row r="56" spans="1:10" x14ac:dyDescent="0.25">
      <c r="A56" t="s">
        <v>54</v>
      </c>
      <c r="B56" s="5">
        <f>SUM((1-(113/121)^36))</f>
        <v>0.91477821350828314</v>
      </c>
      <c r="C56" t="s">
        <v>38</v>
      </c>
      <c r="H56" t="s">
        <v>39</v>
      </c>
      <c r="I56" s="5">
        <f>SUM((1-(112/121)^36))</f>
        <v>0.93811641219148756</v>
      </c>
      <c r="J56" t="s">
        <v>38</v>
      </c>
    </row>
    <row r="58" spans="1:10" x14ac:dyDescent="0.25">
      <c r="A58" t="s">
        <v>53</v>
      </c>
      <c r="B58" s="2">
        <f>8/121</f>
        <v>6.6115702479338845E-2</v>
      </c>
      <c r="C58" t="s">
        <v>42</v>
      </c>
      <c r="H58" t="s">
        <v>65</v>
      </c>
      <c r="I58" s="2">
        <f>14/121</f>
        <v>0.11570247933884298</v>
      </c>
      <c r="J58" t="s">
        <v>42</v>
      </c>
    </row>
    <row r="59" spans="1:10" x14ac:dyDescent="0.25">
      <c r="A59" t="s">
        <v>54</v>
      </c>
      <c r="B59" s="5">
        <f>SUM((1-(113/121)^36))</f>
        <v>0.91477821350828314</v>
      </c>
      <c r="C59" t="s">
        <v>43</v>
      </c>
      <c r="H59" t="s">
        <v>52</v>
      </c>
      <c r="I59" s="5">
        <f>SUM((1-(107/121)^36))</f>
        <v>0.98804519035534577</v>
      </c>
      <c r="J59" t="s">
        <v>43</v>
      </c>
    </row>
    <row r="61" spans="1:10" x14ac:dyDescent="0.25">
      <c r="A61" t="s">
        <v>62</v>
      </c>
      <c r="B61" s="2">
        <f>16/121</f>
        <v>0.13223140495867769</v>
      </c>
      <c r="C61" t="s">
        <v>55</v>
      </c>
      <c r="H61" t="s">
        <v>63</v>
      </c>
      <c r="I61" s="2">
        <f>23/121</f>
        <v>0.19008264462809918</v>
      </c>
      <c r="J61" t="s">
        <v>55</v>
      </c>
    </row>
    <row r="62" spans="1:10" x14ac:dyDescent="0.25">
      <c r="A62" t="s">
        <v>52</v>
      </c>
      <c r="B62" s="5">
        <f>SUM((1-(105/121)^36))</f>
        <v>0.99393903975881037</v>
      </c>
      <c r="C62" t="s">
        <v>56</v>
      </c>
      <c r="H62" t="s">
        <v>51</v>
      </c>
      <c r="I62" s="5">
        <f>SUM((1-(98/121)^36))</f>
        <v>0.99949433209043259</v>
      </c>
      <c r="J62" t="s">
        <v>56</v>
      </c>
    </row>
    <row r="64" spans="1:10" x14ac:dyDescent="0.25">
      <c r="B64" s="9"/>
    </row>
    <row r="65" spans="2:5" x14ac:dyDescent="0.25">
      <c r="B65" s="5">
        <f>SUM((1/24))</f>
        <v>4.1666666666666664E-2</v>
      </c>
      <c r="C65" t="s">
        <v>68</v>
      </c>
      <c r="D65" s="2">
        <f>B51*(1/24)</f>
        <v>6.8870523415977963E-4</v>
      </c>
      <c r="E65" t="s">
        <v>69</v>
      </c>
    </row>
    <row r="66" spans="2:5" x14ac:dyDescent="0.25">
      <c r="B66" s="2">
        <f>SUM(1/145)</f>
        <v>6.8965517241379309E-3</v>
      </c>
      <c r="C66" s="8" t="s">
        <v>70</v>
      </c>
      <c r="D66" s="2">
        <f>B47*(1/121)</f>
        <v>6.8301345536507077E-5</v>
      </c>
      <c r="E66" t="s">
        <v>71</v>
      </c>
    </row>
    <row r="67" spans="2:5" x14ac:dyDescent="0.25">
      <c r="B67" s="5"/>
    </row>
    <row r="68" spans="2:5" x14ac:dyDescent="0.25">
      <c r="B68" s="5">
        <f>SUM(B65:B66)</f>
        <v>4.8563218390804595E-2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7973-D90C-48BC-951F-A1271EAADC78}">
  <dimension ref="A2:N30"/>
  <sheetViews>
    <sheetView tabSelected="1" workbookViewId="0">
      <selection activeCell="Y40" sqref="Y40"/>
    </sheetView>
  </sheetViews>
  <sheetFormatPr defaultRowHeight="15" x14ac:dyDescent="0.25"/>
  <cols>
    <col min="2" max="2" width="11.5703125" bestFit="1" customWidth="1"/>
    <col min="3" max="3" width="10.28515625" customWidth="1"/>
    <col min="4" max="4" width="13.140625" customWidth="1"/>
    <col min="11" max="11" width="13.28515625" customWidth="1"/>
  </cols>
  <sheetData>
    <row r="2" spans="1:14" x14ac:dyDescent="0.25">
      <c r="A2" s="1" t="s">
        <v>76</v>
      </c>
      <c r="B2" s="1"/>
    </row>
    <row r="3" spans="1:14" x14ac:dyDescent="0.25">
      <c r="A3" s="1" t="s">
        <v>7</v>
      </c>
      <c r="B3" s="1"/>
      <c r="I3" s="15">
        <v>43864</v>
      </c>
    </row>
    <row r="4" spans="1:14" x14ac:dyDescent="0.25">
      <c r="A4" s="1" t="s">
        <v>72</v>
      </c>
      <c r="B4" s="1"/>
      <c r="I4" s="11" t="s">
        <v>79</v>
      </c>
    </row>
    <row r="5" spans="1:14" x14ac:dyDescent="0.25">
      <c r="A5" s="11" t="s">
        <v>4</v>
      </c>
      <c r="I5" s="1" t="s">
        <v>85</v>
      </c>
    </row>
    <row r="6" spans="1:14" x14ac:dyDescent="0.25">
      <c r="A6" s="22" t="s">
        <v>73</v>
      </c>
      <c r="B6" s="22" t="s">
        <v>74</v>
      </c>
      <c r="C6" s="22" t="s">
        <v>78</v>
      </c>
      <c r="D6" s="23" t="s">
        <v>91</v>
      </c>
      <c r="E6" s="22" t="s">
        <v>77</v>
      </c>
      <c r="F6" s="10"/>
      <c r="L6" s="13" t="s">
        <v>73</v>
      </c>
    </row>
    <row r="7" spans="1:14" x14ac:dyDescent="0.25">
      <c r="A7" s="18">
        <v>75000</v>
      </c>
      <c r="B7" s="12">
        <v>4</v>
      </c>
      <c r="C7" s="19">
        <f>B7/$B$23</f>
        <v>4.3337132555287349E-6</v>
      </c>
      <c r="D7" s="17">
        <f>MINVERSE(C7)</f>
        <v>230749</v>
      </c>
      <c r="E7" s="20">
        <f>C7*A7</f>
        <v>0.32502849416465512</v>
      </c>
      <c r="I7" s="1" t="s">
        <v>80</v>
      </c>
      <c r="L7" s="24">
        <v>90.29</v>
      </c>
    </row>
    <row r="8" spans="1:14" x14ac:dyDescent="0.25">
      <c r="A8" s="18">
        <v>1000</v>
      </c>
      <c r="B8" s="12">
        <v>20</v>
      </c>
      <c r="C8" s="19">
        <f>B8/$B$23</f>
        <v>2.1668566277643673E-5</v>
      </c>
      <c r="D8" s="17">
        <f t="shared" ref="D8:D21" si="0">MINVERSE(C8)</f>
        <v>46149.8</v>
      </c>
      <c r="E8" s="20">
        <f>C8*A8</f>
        <v>2.1668566277643672E-2</v>
      </c>
      <c r="I8" s="1" t="s">
        <v>81</v>
      </c>
      <c r="L8" s="24">
        <v>56.38</v>
      </c>
    </row>
    <row r="9" spans="1:14" x14ac:dyDescent="0.25">
      <c r="A9" s="18">
        <v>500</v>
      </c>
      <c r="B9" s="12">
        <v>63</v>
      </c>
      <c r="C9" s="19">
        <f>B9/$B$23</f>
        <v>6.8255983774577578E-5</v>
      </c>
      <c r="D9" s="17">
        <f t="shared" si="0"/>
        <v>14650.730158730157</v>
      </c>
      <c r="E9" s="20">
        <f>C9*A9</f>
        <v>3.4127991887288787E-2</v>
      </c>
      <c r="L9" s="1"/>
    </row>
    <row r="10" spans="1:14" x14ac:dyDescent="0.25">
      <c r="A10" s="18">
        <v>250</v>
      </c>
      <c r="B10" s="12">
        <v>63</v>
      </c>
      <c r="C10" s="19">
        <f>B10/$B$23</f>
        <v>6.8255983774577578E-5</v>
      </c>
      <c r="D10" s="17">
        <f t="shared" si="0"/>
        <v>14650.730158730157</v>
      </c>
      <c r="E10" s="20">
        <f>C10*A10</f>
        <v>1.7063995943644394E-2</v>
      </c>
      <c r="I10" s="1" t="s">
        <v>82</v>
      </c>
      <c r="J10" s="1"/>
      <c r="K10" s="1"/>
      <c r="L10" s="16">
        <f>L7/36</f>
        <v>2.5080555555555559</v>
      </c>
    </row>
    <row r="11" spans="1:14" x14ac:dyDescent="0.25">
      <c r="A11" s="18">
        <v>200</v>
      </c>
      <c r="B11" s="12">
        <v>485</v>
      </c>
      <c r="C11" s="19">
        <f>B11/$B$23</f>
        <v>5.2546273223285907E-4</v>
      </c>
      <c r="D11" s="17">
        <f t="shared" si="0"/>
        <v>1903.0845360824742</v>
      </c>
      <c r="E11" s="20">
        <f>C11*A11</f>
        <v>0.10509254644657182</v>
      </c>
      <c r="I11" s="1" t="s">
        <v>83</v>
      </c>
      <c r="J11" s="1"/>
      <c r="K11" s="1"/>
      <c r="L11" s="16">
        <f>L8/36</f>
        <v>1.5661111111111112</v>
      </c>
    </row>
    <row r="12" spans="1:14" x14ac:dyDescent="0.25">
      <c r="A12" s="18">
        <v>100</v>
      </c>
      <c r="B12" s="21">
        <v>4538</v>
      </c>
      <c r="C12" s="19">
        <f>B12/$B$23</f>
        <v>4.9165976883973495E-3</v>
      </c>
      <c r="D12" s="17">
        <f t="shared" si="0"/>
        <v>203.39268400176289</v>
      </c>
      <c r="E12" s="20">
        <f>C12*A12</f>
        <v>0.49165976883973495</v>
      </c>
      <c r="L12" s="1"/>
    </row>
    <row r="13" spans="1:14" x14ac:dyDescent="0.25">
      <c r="A13" s="18">
        <v>55</v>
      </c>
      <c r="B13" s="12">
        <v>808</v>
      </c>
      <c r="C13" s="19">
        <f>B13/$B$23</f>
        <v>8.7541007761680445E-4</v>
      </c>
      <c r="D13" s="17">
        <f t="shared" si="0"/>
        <v>1142.3217821782177</v>
      </c>
      <c r="E13" s="20">
        <f>C13*A13</f>
        <v>4.8147554268924246E-2</v>
      </c>
      <c r="I13" s="1" t="s">
        <v>92</v>
      </c>
      <c r="L13" s="1"/>
    </row>
    <row r="14" spans="1:14" x14ac:dyDescent="0.25">
      <c r="A14" s="18">
        <v>50</v>
      </c>
      <c r="B14" s="21">
        <v>7216</v>
      </c>
      <c r="C14" s="19">
        <f>B14/$B$23</f>
        <v>7.8180187129738375E-3</v>
      </c>
      <c r="D14" s="17">
        <f t="shared" si="0"/>
        <v>127.90964523281596</v>
      </c>
      <c r="E14" s="20">
        <f>C14*A14</f>
        <v>0.39090093564869188</v>
      </c>
      <c r="I14" s="1" t="s">
        <v>84</v>
      </c>
      <c r="L14" s="24">
        <v>0.05</v>
      </c>
    </row>
    <row r="15" spans="1:14" x14ac:dyDescent="0.25">
      <c r="A15" s="18">
        <v>35</v>
      </c>
      <c r="B15" s="21">
        <v>1381</v>
      </c>
      <c r="C15" s="19">
        <f>B15/$B$23</f>
        <v>1.4962145014712957E-3</v>
      </c>
      <c r="D15" s="17">
        <f t="shared" si="0"/>
        <v>668.35336712527146</v>
      </c>
      <c r="E15" s="20">
        <f>C15*A15</f>
        <v>5.236750755149535E-2</v>
      </c>
      <c r="I15" s="1" t="s">
        <v>93</v>
      </c>
      <c r="L15" s="25">
        <f>3/1000*14</f>
        <v>4.2000000000000003E-2</v>
      </c>
      <c r="N15" s="1" t="s">
        <v>94</v>
      </c>
    </row>
    <row r="16" spans="1:14" x14ac:dyDescent="0.25">
      <c r="A16" s="18">
        <v>30</v>
      </c>
      <c r="B16" s="21">
        <v>2152</v>
      </c>
      <c r="C16" s="19">
        <f>B16/$B$23</f>
        <v>2.3315377314744594E-3</v>
      </c>
      <c r="D16" s="17">
        <f t="shared" si="0"/>
        <v>428.90148698884758</v>
      </c>
      <c r="E16" s="20">
        <f>C16*A16</f>
        <v>6.9946131944233783E-2</v>
      </c>
      <c r="I16" s="1" t="s">
        <v>75</v>
      </c>
      <c r="L16" s="24">
        <f>SUM(L14:L15)</f>
        <v>9.1999999999999998E-2</v>
      </c>
    </row>
    <row r="17" spans="1:11" x14ac:dyDescent="0.25">
      <c r="A17" s="18">
        <v>20</v>
      </c>
      <c r="B17" s="21">
        <v>81038</v>
      </c>
      <c r="C17" s="19">
        <f>B17/$B$23</f>
        <v>8.7798863700384394E-2</v>
      </c>
      <c r="D17" s="17">
        <f t="shared" si="0"/>
        <v>11.389669044152127</v>
      </c>
      <c r="E17" s="20">
        <f>C17*A17</f>
        <v>1.7559772740076878</v>
      </c>
    </row>
    <row r="18" spans="1:11" x14ac:dyDescent="0.25">
      <c r="A18" s="18">
        <v>10</v>
      </c>
      <c r="B18" s="21">
        <v>162063</v>
      </c>
      <c r="C18" s="19">
        <f>B18/$B$23</f>
        <v>0.17558364283268832</v>
      </c>
      <c r="D18" s="17">
        <f t="shared" si="0"/>
        <v>5.6952913373194383</v>
      </c>
      <c r="E18" s="20">
        <f>C18*A18</f>
        <v>1.7558364283268832</v>
      </c>
    </row>
    <row r="19" spans="1:11" x14ac:dyDescent="0.25">
      <c r="A19" s="18">
        <v>6</v>
      </c>
      <c r="B19" s="21">
        <v>73677</v>
      </c>
      <c r="C19" s="19">
        <f>B19/$B$23</f>
        <v>7.9823747881897653E-2</v>
      </c>
      <c r="D19" s="17">
        <f t="shared" si="0"/>
        <v>12.527600200876799</v>
      </c>
      <c r="E19" s="20">
        <f>C19*A19</f>
        <v>0.47894248729138589</v>
      </c>
    </row>
    <row r="20" spans="1:11" x14ac:dyDescent="0.25">
      <c r="A20" s="18">
        <v>5</v>
      </c>
      <c r="B20" s="21">
        <v>221082</v>
      </c>
      <c r="C20" s="19">
        <f>B20/$B$23</f>
        <v>0.23952649848970092</v>
      </c>
      <c r="D20" s="17">
        <f t="shared" si="0"/>
        <v>4.174903429496748</v>
      </c>
      <c r="E20" s="20">
        <f>C20*A20</f>
        <v>1.1976324924485047</v>
      </c>
      <c r="I20" t="s">
        <v>97</v>
      </c>
      <c r="K20" t="s">
        <v>90</v>
      </c>
    </row>
    <row r="21" spans="1:11" x14ac:dyDescent="0.25">
      <c r="A21" s="18">
        <v>3</v>
      </c>
      <c r="B21" s="21">
        <v>368406</v>
      </c>
      <c r="C21" s="19">
        <f>B21/$B$23</f>
        <v>0.39914149140407978</v>
      </c>
      <c r="D21" s="17">
        <f t="shared" si="0"/>
        <v>2.505377219697833</v>
      </c>
      <c r="E21" s="20">
        <f>C21*A21</f>
        <v>1.1974244742122393</v>
      </c>
      <c r="I21" t="s">
        <v>88</v>
      </c>
      <c r="K21" t="s">
        <v>89</v>
      </c>
    </row>
    <row r="22" spans="1:11" x14ac:dyDescent="0.25">
      <c r="A22" s="12"/>
      <c r="B22" s="12"/>
      <c r="C22" s="12"/>
      <c r="D22" s="12"/>
      <c r="E22" s="12"/>
    </row>
    <row r="23" spans="1:11" x14ac:dyDescent="0.25">
      <c r="A23" s="26" t="s">
        <v>75</v>
      </c>
      <c r="B23" s="27">
        <f>SUM(B7:B21)</f>
        <v>922996</v>
      </c>
      <c r="C23" s="28">
        <f t="shared" ref="C23:E23" si="1">SUM(C7:C21)</f>
        <v>1</v>
      </c>
      <c r="D23" s="27"/>
      <c r="E23" s="29">
        <f t="shared" si="1"/>
        <v>7.941816649259585</v>
      </c>
      <c r="I23" t="s">
        <v>95</v>
      </c>
    </row>
    <row r="24" spans="1:11" x14ac:dyDescent="0.25">
      <c r="I24" t="s">
        <v>96</v>
      </c>
    </row>
    <row r="25" spans="1:11" x14ac:dyDescent="0.25">
      <c r="A25" t="s">
        <v>86</v>
      </c>
      <c r="E25" s="14"/>
    </row>
    <row r="27" spans="1:11" x14ac:dyDescent="0.25">
      <c r="A27" t="s">
        <v>87</v>
      </c>
    </row>
    <row r="28" spans="1:11" x14ac:dyDescent="0.25">
      <c r="A28" t="s">
        <v>98</v>
      </c>
    </row>
    <row r="30" spans="1:11" x14ac:dyDescent="0.25">
      <c r="A30" t="s">
        <v>99</v>
      </c>
    </row>
  </sheetData>
  <hyperlinks>
    <hyperlink ref="I4" r:id="rId1" xr:uid="{CFE06302-7310-4F27-900E-E3D44993FD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EV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2019-12-11T03:12:51Z</dcterms:created>
  <dcterms:modified xsi:type="dcterms:W3CDTF">2020-02-03T14:10:58Z</dcterms:modified>
</cp:coreProperties>
</file>